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55" windowHeight="8070" activeTab="4"/>
  </bookViews>
  <sheets>
    <sheet name="РП" sheetId="1" r:id="rId1"/>
    <sheet name="пояснит РП" sheetId="2" r:id="rId2"/>
    <sheet name="ведомственная" sheetId="3" r:id="rId3"/>
    <sheet name="пояснит ВЕДОМ" sheetId="4" r:id="rId4"/>
    <sheet name="программы" sheetId="5" r:id="rId5"/>
    <sheet name="пояснит ПРОГР" sheetId="6" r:id="rId6"/>
  </sheets>
  <definedNames>
    <definedName name="_xlnm._FilterDatabase" localSheetId="2" hidden="1">'ведомственная'!$A$16:$G$827</definedName>
    <definedName name="_xlnm._FilterDatabase" localSheetId="3" hidden="1">'пояснит ВЕДОМ'!$A$6:$I$944</definedName>
    <definedName name="_xlnm._FilterDatabase" localSheetId="5" hidden="1">'пояснит ПРОГР'!$A$4:$F$781</definedName>
    <definedName name="_xlnm._FilterDatabase" localSheetId="4" hidden="1">'программы'!$A$14:$D$700</definedName>
    <definedName name="Z_01BC8EC9_D926_4CD5_BB57_626227D6EF06_.wvu.FilterData" localSheetId="2" hidden="1">'ведомственная'!$E$15:$E$16</definedName>
    <definedName name="Z_04993339_5E37_4914_858F_AD9FAF76B3C3_.wvu.FilterData" localSheetId="2" hidden="1">'ведомственная'!$E$15:$E$16</definedName>
    <definedName name="Z_067F6ADF_79F5_4690_B004_EB533833A7C8_.wvu.FilterData" localSheetId="2" hidden="1">'ведомственная'!$F$15:$F$16</definedName>
    <definedName name="Z_26F88C38_A5A9_4DC8_964F_9A691A4C38C1_.wvu.FilterData" localSheetId="2" hidden="1">'ведомственная'!$E$15:$E$16</definedName>
    <definedName name="Z_290A2DA1_DB58_455A_BE2A_E78A01F4E074_.wvu.FilterData" localSheetId="2" hidden="1">'ведомственная'!$E$15:$E$16</definedName>
    <definedName name="Z_2B391156_FB2A_4680_B6DB_A43F8449B473_.wvu.FilterData" localSheetId="2" hidden="1">'ведомственная'!$E$15:$E$16</definedName>
    <definedName name="Z_347AE766_9F12_4D25_8BDF_36BE6517CFDA_.wvu.FilterData" localSheetId="2" hidden="1">'ведомственная'!$F$15:$F$16</definedName>
    <definedName name="Z_363B3729_E230_4697_93BD_9CE75AD564A4_.wvu.FilterData" localSheetId="2" hidden="1">'ведомственная'!$E$15:$E$16</definedName>
    <definedName name="Z_379389A7_0E72_4662_9492_EF7DA9CE8C1F_.wvu.FilterData" localSheetId="2" hidden="1">'ведомственная'!$E$15:$E$16</definedName>
    <definedName name="Z_38A8019D_F7EA_41CA_A313_9C5B9D618B23_.wvu.FilterData" localSheetId="2" hidden="1">'ведомственная'!$E$15:$E$16</definedName>
    <definedName name="Z_38DAD992_3957_4277_ACCB_EC6CC762D5D5_.wvu.FilterData" localSheetId="2" hidden="1">'ведомственная'!$E$15:$E$16</definedName>
    <definedName name="Z_3BE99707_F5A1_4E55_8DDB_C0239ADC4C98_.wvu.FilterData" localSheetId="2" hidden="1">'ведомственная'!$E$15:$E$16</definedName>
    <definedName name="Z_4B7EFD76_0B2D_4CBB_9CE2_C1A87786B8FD_.wvu.FilterData" localSheetId="2" hidden="1">'ведомственная'!$E$15:$E$16</definedName>
    <definedName name="Z_4D7A7110_392A_4484_9B1B_C70D8D752EFA_.wvu.FilterData" localSheetId="2" hidden="1">'ведомственная'!$E$15:$E$16</definedName>
    <definedName name="Z_4FE9A5CB_84A2_4307_9903_109DA66D4E2E_.wvu.Cols" localSheetId="2" hidden="1">'ведомственная'!#REF!</definedName>
    <definedName name="Z_4FE9A5CB_84A2_4307_9903_109DA66D4E2E_.wvu.FilterData" localSheetId="2" hidden="1">'ведомственная'!$E$15:$E$16</definedName>
    <definedName name="Z_50A91611_6C67_45BD_BD4A_6AFA4A029EDD_.wvu.FilterData" localSheetId="2" hidden="1">'ведомственная'!$E$15:$E$16</definedName>
    <definedName name="Z_52B1A979_9C58_4412_ACDB_6966BFCF7D47_.wvu.FilterData" localSheetId="2" hidden="1">'ведомственная'!$E$15:$E$16</definedName>
    <definedName name="Z_5BA3C75F_2BE9_4196_897F_8796335772FA_.wvu.FilterData" localSheetId="2" hidden="1">'ведомственная'!$E$15:$E$16</definedName>
    <definedName name="Z_5DE99D0B_16A2_4C77_A9F2_2F32E6F19120_.wvu.FilterData" localSheetId="2" hidden="1">'ведомственная'!$E$15:$E$16</definedName>
    <definedName name="Z_61532AD7_8475_4B9E_A9C1_2AF5E37FFF44_.wvu.Cols" localSheetId="0" hidden="1">'РП'!#REF!</definedName>
    <definedName name="Z_61532AD7_8475_4B9E_A9C1_2AF5E37FFF44_.wvu.FilterData" localSheetId="2" hidden="1">'ведомственная'!$E$15:$E$16</definedName>
    <definedName name="Z_61532AD7_8475_4B9E_A9C1_2AF5E37FFF44_.wvu.PrintArea" localSheetId="0" hidden="1">'РП'!$A$13:$D$62</definedName>
    <definedName name="Z_61532AD7_8475_4B9E_A9C1_2AF5E37FFF44_.wvu.PrintTitles" localSheetId="0" hidden="1">'РП'!$16:$16</definedName>
    <definedName name="Z_61532AD7_8475_4B9E_A9C1_2AF5E37FFF44_.wvu.Rows" localSheetId="0" hidden="1">'РП'!#REF!</definedName>
    <definedName name="Z_6B99CF46_DBB1_4A22_B5B6_E531A998AB21_.wvu.FilterData" localSheetId="2" hidden="1">'ведомственная'!$E$15:$E$16</definedName>
    <definedName name="Z_6BD40141_54D5_446D_A6AC_E8E3B6FC23AD_.wvu.FilterData" localSheetId="2" hidden="1">'ведомственная'!$F$15:$F$16</definedName>
    <definedName name="Z_6E5F5D33_2429_4DF7_AFA5_E0605C24C932_.wvu.FilterData" localSheetId="2" hidden="1">'ведомственная'!$E$15:$E$16</definedName>
    <definedName name="Z_745668DA_7EAE_40FC_BDE5_6E5B24099C2E_.wvu.FilterData" localSheetId="2" hidden="1">'ведомственная'!$E$15:$E$16</definedName>
    <definedName name="Z_8180E4C8_989C_4E96_A7DD_AFC831F8741D_.wvu.FilterData" localSheetId="2" hidden="1">'ведомственная'!$E$15:$E$16</definedName>
    <definedName name="Z_894A5CE0_4BC5_4B0E_979C_48039A59415B_.wvu.FilterData" localSheetId="2" hidden="1">'ведомственная'!$E$15:$E$16</definedName>
    <definedName name="Z_933F2D6F_8178_48DF_86B0_8B593FC9FF62_.wvu.FilterData" localSheetId="2" hidden="1">'ведомственная'!$E$15:$E$16</definedName>
    <definedName name="Z_9A50CC09_1AEB_40F5_B9E3_1031AEFBF680_.wvu.FilterData" localSheetId="2" hidden="1">'ведомственная'!$E$15:$E$16</definedName>
    <definedName name="Z_A3C3838E_E3CC_4E27_8B8C_945FD0FA461A_.wvu.FilterData" localSheetId="2" hidden="1">'ведомственная'!$E$15:$E$16</definedName>
    <definedName name="Z_A434FA91_5BCB_4EA8_9111_8CAA80E64CBC_.wvu.FilterData" localSheetId="2" hidden="1">'ведомственная'!$E$15:$E$16</definedName>
    <definedName name="Z_A707A2BE_3045_4302_9C20_6E42AB31EAFF_.wvu.FilterData" localSheetId="2" hidden="1">'ведомственная'!$E$15:$E$16</definedName>
    <definedName name="Z_AF53F382_CD51_47F0_BE2C_806C4CF70ADD_.wvu.PrintTitles" localSheetId="2" hidden="1">'ведомственная'!$16:$16</definedName>
    <definedName name="Z_AFAA24A5_B54F_40C9_9D6F_D4A87D90AFE2_.wvu.Cols" localSheetId="2" hidden="1">'ведомственная'!#REF!</definedName>
    <definedName name="Z_AFAA24A5_B54F_40C9_9D6F_D4A87D90AFE2_.wvu.Cols" localSheetId="0" hidden="1">'РП'!#REF!</definedName>
    <definedName name="Z_AFAA24A5_B54F_40C9_9D6F_D4A87D90AFE2_.wvu.FilterData" localSheetId="2" hidden="1">'ведомственная'!$E$15:$E$16</definedName>
    <definedName name="Z_AFAA24A5_B54F_40C9_9D6F_D4A87D90AFE2_.wvu.PrintArea" localSheetId="2" hidden="1">'ведомственная'!$A$15:$G$16</definedName>
    <definedName name="Z_AFAA24A5_B54F_40C9_9D6F_D4A87D90AFE2_.wvu.PrintTitles" localSheetId="2" hidden="1">'ведомственная'!$15:$16</definedName>
    <definedName name="Z_B978C0E0_BA0D_4ECF_A684_E7950C96BA4D_.wvu.FilterData" localSheetId="2" hidden="1">'ведомственная'!$E$15:$E$16</definedName>
    <definedName name="Z_C01AF835_6616_41ED_9906_8C6A95B0DB53_.wvu.FilterData" localSheetId="2" hidden="1">'ведомственная'!$E$15:$E$16</definedName>
    <definedName name="Z_C819BBC0_576F_4857_A6DE_C7E4354159E5_.wvu.FilterData" localSheetId="2" hidden="1">'ведомственная'!$E$15:$E$16</definedName>
    <definedName name="Z_C8707976_6AA1_46D3_983C_C10C547FE6D0_.wvu.Rows" localSheetId="2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2" hidden="1">'ведомственная'!$E$15:$E$16</definedName>
    <definedName name="Z_D1F502E2_5131_411C_9E8E_378CED927489_.wvu.FilterData" localSheetId="2" hidden="1">'ведомственная'!$E$15:$E$16</definedName>
    <definedName name="Z_DBDE1A38_EFF0_4158_B945_2C0E96A53B6E_.wvu.FilterData" localSheetId="2" hidden="1">'ведомственная'!$E$15:$E$16</definedName>
    <definedName name="Z_DCF4D08F_FB90_4C57_9649_2DF44D893F09_.wvu.FilterData" localSheetId="2" hidden="1">'ведомственная'!$E$15:$E$16</definedName>
    <definedName name="Z_E141AC46_44C7_4E5C_AF93_9D20C0DEB400_.wvu.FilterData" localSheetId="2" hidden="1">'ведомственная'!$F$15:$F$16</definedName>
    <definedName name="Z_E27ABCB8_176E_4D46_A57F_8AB156C9D5A1_.wvu.FilterData" localSheetId="2" hidden="1">'ведомственная'!$E$15:$E$16</definedName>
    <definedName name="Z_E31B5852_F6F9_4AFA_A6D3_80121041449E_.wvu.FilterData" localSheetId="2" hidden="1">'ведомственная'!$E$15:$E$16</definedName>
    <definedName name="Z_E5D1DF5E_DDCC_445C_A369_8F5E795BF45C_.wvu.FilterData" localSheetId="2" hidden="1">'ведомственная'!$E$15:$E$16</definedName>
    <definedName name="Z_E82A3278_DCC3_4405_8222_DCCE7092ACC7_.wvu.FilterData" localSheetId="2" hidden="1">'ведомственная'!$E$15:$E$16</definedName>
    <definedName name="Z_E9523752_B05C_4843_A627_1E3C9C75F558_.wvu.FilterData" localSheetId="2" hidden="1">'ведомственная'!$E$15:$E$16</definedName>
    <definedName name="Z_EA87F52B_29D4_4A11_9A40_3D5CBBE0B798_.wvu.PrintTitles" localSheetId="2" hidden="1">'ведомственная'!$16:$16</definedName>
    <definedName name="Z_EBE8766F_E7E2_4345_A25B_0E3CF662E7B7_.wvu.FilterData" localSheetId="2" hidden="1">'ведомственная'!$E$15:$E$16</definedName>
    <definedName name="Z_F399CD2D_9566_454F_B0D4_4503A0F8F2CB_.wvu.FilterData" localSheetId="2" hidden="1">'ведомственная'!$E$15:$E$16</definedName>
    <definedName name="Z_F65AA4FC_5B89_4684_8B36_BA70B4E74CA1_.wvu.FilterData" localSheetId="2" hidden="1">'ведомственная'!$E$15:$E$16</definedName>
    <definedName name="Z_F6B47D43_C3D8_4CEB_AE3D_4D583A92F905_.wvu.FilterData" localSheetId="2" hidden="1">'ведомственная'!$E$15:$E$16</definedName>
    <definedName name="_xlnm.Print_Titles" localSheetId="2">'ведомственная'!$15:$16</definedName>
    <definedName name="_xlnm.Print_Titles" localSheetId="0">'РП'!$15:$16</definedName>
    <definedName name="CRITERIA" localSheetId="2">'ведомственная'!#REF!</definedName>
    <definedName name="_xlnm.Print_Area" localSheetId="2">'ведомственная'!$A$1:$Q$956</definedName>
    <definedName name="_xlnm.Print_Area" localSheetId="3">'пояснит ВЕДОМ'!$A$1:$I$944</definedName>
    <definedName name="_xlnm.Print_Area" localSheetId="5">'пояснит ПРОГР'!$A$1:$F$781</definedName>
    <definedName name="_xlnm.Print_Area" localSheetId="1">'пояснит РП'!$A$1:$F$54</definedName>
    <definedName name="_xlnm.Print_Area" localSheetId="4">'программы'!$A$1:$O$791</definedName>
    <definedName name="_xlnm.Print_Area" localSheetId="0">'РП'!$A$1:$E$63</definedName>
  </definedNames>
  <calcPr fullCalcOnLoad="1" refMode="R1C1"/>
</workbook>
</file>

<file path=xl/sharedStrings.xml><?xml version="1.0" encoding="utf-8"?>
<sst xmlns="http://schemas.openxmlformats.org/spreadsheetml/2006/main" count="12733" uniqueCount="703">
  <si>
    <t>04 0 00 00000</t>
  </si>
  <si>
    <t>04 1 00 00000</t>
  </si>
  <si>
    <t>04 1 00 43500</t>
  </si>
  <si>
    <t>Отчисления на капитальный ремонт общедомового имущества</t>
  </si>
  <si>
    <t>05 0 00 00000</t>
  </si>
  <si>
    <t>05 0 00 42250</t>
  </si>
  <si>
    <t>05 0 00 42260</t>
  </si>
  <si>
    <t>07 0 00 00000</t>
  </si>
  <si>
    <t>Мероприятия в области благоустройства</t>
  </si>
  <si>
    <t>Благоустройство</t>
  </si>
  <si>
    <t>21 0 00 43510</t>
  </si>
  <si>
    <t>22 0 00  00000</t>
  </si>
  <si>
    <t>22 3 00 78010</t>
  </si>
  <si>
    <t>02 0 00 00000</t>
  </si>
  <si>
    <t>02 1 00 00000</t>
  </si>
  <si>
    <t>12 0 00 00000</t>
  </si>
  <si>
    <t>12 0 00 42910</t>
  </si>
  <si>
    <t>15 0 00 00000</t>
  </si>
  <si>
    <t>15 0 00 43290</t>
  </si>
  <si>
    <t xml:space="preserve">МП "Строительство, ремонт и содержание автомобильных дорог общего пользования местного значения" </t>
  </si>
  <si>
    <t>16 0 00 00000</t>
  </si>
  <si>
    <t>19 0 00 00000</t>
  </si>
  <si>
    <t>21 0 00 00000</t>
  </si>
  <si>
    <t>21 0 00 41180</t>
  </si>
  <si>
    <t>21 0 00 42920</t>
  </si>
  <si>
    <t>24 0 00  00000</t>
  </si>
  <si>
    <t xml:space="preserve">Доплаты к пенсиям муниципальных служащих </t>
  </si>
  <si>
    <t>65 0 00 00000</t>
  </si>
  <si>
    <t>02 1 00 44050</t>
  </si>
  <si>
    <t>02 1 00 44060</t>
  </si>
  <si>
    <t>02 1 00 40100</t>
  </si>
  <si>
    <t>02 2 00 00000</t>
  </si>
  <si>
    <t>02 2 00 40100</t>
  </si>
  <si>
    <t>02 2 00 44050</t>
  </si>
  <si>
    <t>02 2 00 44060</t>
  </si>
  <si>
    <t>02 2 00 44070</t>
  </si>
  <si>
    <t>02 3 00 00000</t>
  </si>
  <si>
    <t>02 3 00 40100</t>
  </si>
  <si>
    <t>02 3 00 44070</t>
  </si>
  <si>
    <t>22 3 00 00000</t>
  </si>
  <si>
    <t>22 3 00 48230</t>
  </si>
  <si>
    <t xml:space="preserve">Межбюджетные трансферты на обеспечение равной доступности услуг общественного транспорта для категорий граждан, установленных ст. 2 и 4 ФЗ от 12.01.1995 № 5-ФЗ "О ветеранах" </t>
  </si>
  <si>
    <t>02 3 00 44080</t>
  </si>
  <si>
    <t>02 2 00 78620</t>
  </si>
  <si>
    <t>11 0 00 00000</t>
  </si>
  <si>
    <t>11 1 00 45410</t>
  </si>
  <si>
    <t>11 2 00 00000</t>
  </si>
  <si>
    <t>26 0 00 00000</t>
  </si>
  <si>
    <t>26 0 00 40010</t>
  </si>
  <si>
    <t>01 0 00 00000</t>
  </si>
  <si>
    <t>01 0 00 40010</t>
  </si>
  <si>
    <t>01 0 00 41410</t>
  </si>
  <si>
    <t>26 0 00 78690</t>
  </si>
  <si>
    <t>26 0 00 78710</t>
  </si>
  <si>
    <t>03 1 00 00000</t>
  </si>
  <si>
    <t>03 1 00 40540</t>
  </si>
  <si>
    <t>03 2 00 00000</t>
  </si>
  <si>
    <t>03 2 00 40540</t>
  </si>
  <si>
    <t>18 0 00 00000</t>
  </si>
  <si>
    <t>26 0 00 40480</t>
  </si>
  <si>
    <t>09 0 00 00000</t>
  </si>
  <si>
    <t>Подпрограмма "Обеспечение безопасности людей на водных объектах"</t>
  </si>
  <si>
    <t>09 4 00 00000</t>
  </si>
  <si>
    <t>09 4 00 41680</t>
  </si>
  <si>
    <t>Мероприятия по профилактике безопасности людей на водных объектах</t>
  </si>
  <si>
    <t>22 2 00 41750</t>
  </si>
  <si>
    <t>22 2 00 00000</t>
  </si>
  <si>
    <t>22 0 00 00000</t>
  </si>
  <si>
    <t>22 1 00 00000</t>
  </si>
  <si>
    <t>22 1 00 40010</t>
  </si>
  <si>
    <t>67 0 00 00000</t>
  </si>
  <si>
    <t>67 0 00 41400</t>
  </si>
  <si>
    <t>18 2 00 00000</t>
  </si>
  <si>
    <t>22 1 00 51180</t>
  </si>
  <si>
    <t>62 0 00 00000</t>
  </si>
  <si>
    <t>62 1 00 00000</t>
  </si>
  <si>
    <t>62 1 00 40010</t>
  </si>
  <si>
    <t>62 3 00 00000</t>
  </si>
  <si>
    <t>62 3 00 40010</t>
  </si>
  <si>
    <t>21 0 00 40010</t>
  </si>
  <si>
    <t>64 0 00 00000</t>
  </si>
  <si>
    <t>64 1 00 00000</t>
  </si>
  <si>
    <t>64 1 00 40010</t>
  </si>
  <si>
    <t>64 3 00 00000</t>
  </si>
  <si>
    <t>64 3 00 40010</t>
  </si>
  <si>
    <t>64 3 00 80010</t>
  </si>
  <si>
    <t>13 0 00 00000</t>
  </si>
  <si>
    <t>13 1 00 00000</t>
  </si>
  <si>
    <t>13 2 00 00000</t>
  </si>
  <si>
    <t>13 2 00 42930</t>
  </si>
  <si>
    <t>02 1 00 78620</t>
  </si>
  <si>
    <t>02 1 00 78650</t>
  </si>
  <si>
    <t>02 1  00 44070</t>
  </si>
  <si>
    <t>17 0 00 00000</t>
  </si>
  <si>
    <t>17 0 00 42080</t>
  </si>
  <si>
    <t>03 0 00 00000</t>
  </si>
  <si>
    <t>08 0 00 00000</t>
  </si>
  <si>
    <t>Социальные выплаты гражданам, кроме публичных нормативных социальных выплат</t>
  </si>
  <si>
    <t>300</t>
  </si>
  <si>
    <t>320</t>
  </si>
  <si>
    <t>800</t>
  </si>
  <si>
    <t>810</t>
  </si>
  <si>
    <t>Социальное обеспечение и иные выплаты населению</t>
  </si>
  <si>
    <t>Дотация на выравнивание бюджетной обеспеченности субъектов РФ и муниципальных образований</t>
  </si>
  <si>
    <t xml:space="preserve">Дотации </t>
  </si>
  <si>
    <t>510</t>
  </si>
  <si>
    <t>Субвенции</t>
  </si>
  <si>
    <t>Иные бюджетные ассигнования</t>
  </si>
  <si>
    <t>Резервные средства</t>
  </si>
  <si>
    <t>Мероприятия в сфере общегосударственных вопросов, осуществляемые органами местного самоуправления</t>
  </si>
  <si>
    <t xml:space="preserve">Поддержка малого и среднего предпринимательства </t>
  </si>
  <si>
    <t>Мероприятия в сфере социальной политики, осуществляемые органами местного самоуправления</t>
  </si>
  <si>
    <t xml:space="preserve">Финансовая поддержка социально-ориентированных некоммерческих организаций </t>
  </si>
  <si>
    <t xml:space="preserve">Мероприятия, связанные с проведением сельскохозяйственных ярмарок, конкурсов животноводов </t>
  </si>
  <si>
    <t>Мероприятия по развитию туризма</t>
  </si>
  <si>
    <t>Мероприятия в сфере патриотического воспитания граждан и молодежной политики</t>
  </si>
  <si>
    <t xml:space="preserve">Осуществление государственных полномочий в сфере административных правонарушений </t>
  </si>
  <si>
    <t>Развитие территориального общественного самоуправления Няндомского района</t>
  </si>
  <si>
    <t>Осуществление первичного воинского учета на территориях, где отсутствуют военные комиссариаты</t>
  </si>
  <si>
    <t>Поддержка предприятий агропромышленного комплекса</t>
  </si>
  <si>
    <t xml:space="preserve">Обслуживание муниципального долга </t>
  </si>
  <si>
    <t xml:space="preserve">Подпрограмма "Поддержание устойчивого исполнения бюджета поселений Няндомского района" </t>
  </si>
  <si>
    <t>Софинансирование вопросов местного значения поселений</t>
  </si>
  <si>
    <t>Расходы на содержание органов местного самоуправления и обеспечение их функций</t>
  </si>
  <si>
    <t>Расходы на содержание органов местного самоуправления и обеспечение их функций за счет средств поселений</t>
  </si>
  <si>
    <t xml:space="preserve">Расходы на обеспечение деятельности подведомственных учреждений </t>
  </si>
  <si>
    <t xml:space="preserve">Мероприятия в области образования </t>
  </si>
  <si>
    <t>Расходы на обеспечение деятельности подведомственных учреждений</t>
  </si>
  <si>
    <t>Мероприятия в сфере энергосбережения и повышения энергетической эффективности Няндомского района</t>
  </si>
  <si>
    <t xml:space="preserve"> Мероприятия по оздоровлению детей </t>
  </si>
  <si>
    <t xml:space="preserve">Расходы на содержание органов местного самоуправления  и обеспечение их функций </t>
  </si>
  <si>
    <t>Инвентаризация и оценка муниципального имущества</t>
  </si>
  <si>
    <t xml:space="preserve">Мероприятия по землеустройству и землепользованию </t>
  </si>
  <si>
    <t>530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</si>
  <si>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</si>
  <si>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</si>
  <si>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</si>
  <si>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</si>
  <si>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 xml:space="preserve">Расходы на содержание органов местного самоуправления и обеспечение их функций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</si>
  <si>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</si>
  <si>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Мероприятия по противодействию коррупции 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</si>
  <si>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</si>
  <si>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</si>
  <si>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</si>
  <si>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</si>
  <si>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</si>
  <si>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13</t>
  </si>
  <si>
    <t>Социальное обеспечение населения</t>
  </si>
  <si>
    <t>Другие вопросы в области образования</t>
  </si>
  <si>
    <t>Коммунальное хозяйство</t>
  </si>
  <si>
    <t>10</t>
  </si>
  <si>
    <t>Национальная безопасность и правоохранительная деятельность</t>
  </si>
  <si>
    <t>07</t>
  </si>
  <si>
    <t>06</t>
  </si>
  <si>
    <t>Общегосударственные вопросы</t>
  </si>
  <si>
    <t>7</t>
  </si>
  <si>
    <t>Сумма,                                 тыс. рублей</t>
  </si>
  <si>
    <t>Сумма,                                     тыс. рублей</t>
  </si>
  <si>
    <t>4</t>
  </si>
  <si>
    <t>Другие вопросы в области национальной экономики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</si>
  <si>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</si>
  <si>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</si>
  <si>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</si>
  <si>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к решению Собрания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</si>
  <si>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</si>
  <si>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</si>
  <si>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        Всего</t>
  </si>
  <si>
    <t>Жилищно-коммунальное хозяйство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</si>
  <si>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</si>
  <si>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</si>
  <si>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</si>
  <si>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</si>
  <si>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</si>
  <si>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</si>
  <si>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Дошкольное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</si>
  <si>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</si>
  <si>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</si>
  <si>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</si>
  <si>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</si>
  <si>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11</t>
  </si>
  <si>
    <t>01</t>
  </si>
  <si>
    <t>03</t>
  </si>
  <si>
    <t>Охрана семьи и детства</t>
  </si>
  <si>
    <t>08</t>
  </si>
  <si>
    <t>Культура</t>
  </si>
  <si>
    <t>14</t>
  </si>
  <si>
    <t>Физическая культура и спорт</t>
  </si>
  <si>
    <t>Резервные фонды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</si>
  <si>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</si>
  <si>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</si>
  <si>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Пенсионное обеспечение</t>
  </si>
  <si>
    <t>Прочие межбюджетные трансферты общего характера</t>
  </si>
  <si>
    <t>Образование</t>
  </si>
  <si>
    <t>Общее образование</t>
  </si>
  <si>
    <t>09</t>
  </si>
  <si>
    <t>Национальная экономика</t>
  </si>
  <si>
    <t>04</t>
  </si>
  <si>
    <t>02</t>
  </si>
  <si>
    <t>05</t>
  </si>
  <si>
    <t>Транспорт</t>
  </si>
  <si>
    <t>904</t>
  </si>
  <si>
    <t xml:space="preserve"> </t>
  </si>
  <si>
    <t xml:space="preserve">07 </t>
  </si>
  <si>
    <t>Межбюджетные трансферты</t>
  </si>
  <si>
    <t>500</t>
  </si>
  <si>
    <t>901</t>
  </si>
  <si>
    <t>600</t>
  </si>
  <si>
    <t>Бюджетные инвестиции</t>
  </si>
  <si>
    <t xml:space="preserve">10 </t>
  </si>
  <si>
    <t>902</t>
  </si>
  <si>
    <t>Национаяльная экономика</t>
  </si>
  <si>
    <t>903</t>
  </si>
  <si>
    <t>907</t>
  </si>
  <si>
    <t>Массовый спорт</t>
  </si>
  <si>
    <t>ИТОГО</t>
  </si>
  <si>
    <t>240</t>
  </si>
  <si>
    <t>200</t>
  </si>
  <si>
    <t>Иные закупки товаров, работ и услуг для обеспечения государственных (муниципальных) нужд</t>
  </si>
  <si>
    <t>520</t>
  </si>
  <si>
    <t>Субсидии</t>
  </si>
  <si>
    <t>Предоставление субсидий бюджетным,автономным учреждениям и иным некоммерческим организациям</t>
  </si>
  <si>
    <t>Субсидии бюджетным учреждениям</t>
  </si>
  <si>
    <t>610</t>
  </si>
  <si>
    <t>Расходы на выплаты персоналу государственных (муниципальных) органов</t>
  </si>
  <si>
    <t>120</t>
  </si>
  <si>
    <t>Субсиди автономным учреждениям</t>
  </si>
  <si>
    <t>620</t>
  </si>
  <si>
    <t>Субсидии автономным учреждениям</t>
  </si>
  <si>
    <t>100</t>
  </si>
  <si>
    <t>400</t>
  </si>
  <si>
    <t>410</t>
  </si>
  <si>
    <t>Подпрограмма "Развитие и укрепление материально-технической базы оздоровительного лагеря "Боровое"</t>
  </si>
  <si>
    <t>Подпрограмма "Организация отдыха и оздоровления детей"</t>
  </si>
  <si>
    <t>540</t>
  </si>
  <si>
    <t>Иные межбюджетные трансферты</t>
  </si>
  <si>
    <t>Предоставление субсидий бюджетным,
автономным учреждениям и иным некоммерческим организациям</t>
  </si>
  <si>
    <t>630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</si>
  <si>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</si>
  <si>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</si>
  <si>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Функционирование высшего должностного лица субъекта РФ и муниципального образования</t>
  </si>
  <si>
    <t>908</t>
  </si>
  <si>
    <t>Жилищное хозяйство</t>
  </si>
  <si>
    <t>Уплата налогов, сборов и иных платежей</t>
  </si>
  <si>
    <t>850</t>
  </si>
  <si>
    <t xml:space="preserve">01 </t>
  </si>
  <si>
    <t>Подпрограмма "Старшее поколение"</t>
  </si>
  <si>
    <t>909</t>
  </si>
  <si>
    <t>65 0 00 47050</t>
  </si>
  <si>
    <t>Доплаты к пенсиям муниципальных служащих</t>
  </si>
  <si>
    <t>Иные межбюджетные трансферты бюджету района</t>
  </si>
  <si>
    <t>13 1 00 88900</t>
  </si>
  <si>
    <t>13 1 00 88910</t>
  </si>
  <si>
    <t>13 1 00 88920</t>
  </si>
  <si>
    <t>Проезд к месту использования отпуска и обратно</t>
  </si>
  <si>
    <t>02 1 00 40210</t>
  </si>
  <si>
    <t>02 3 00 40210</t>
  </si>
  <si>
    <t>21 0 00 40480</t>
  </si>
  <si>
    <t>18 1 00 00000</t>
  </si>
  <si>
    <t xml:space="preserve">13 2 00 42930 </t>
  </si>
  <si>
    <t>02 2 00 40210</t>
  </si>
  <si>
    <t>13 1 00 40100</t>
  </si>
  <si>
    <t xml:space="preserve">13 2 00 00000 </t>
  </si>
  <si>
    <t>Выполнение полномочий гордского поселения в сфере организации досуга</t>
  </si>
  <si>
    <t>11 1 00 00000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</si>
  <si>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</si>
  <si>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</si>
  <si>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</si>
  <si>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МП "Благоустройство территориии Няндомского района" </t>
  </si>
  <si>
    <t>Межбюджетные трансферты общего характера бюджетам бюджетной системы Российской Федерации</t>
  </si>
  <si>
    <t>2</t>
  </si>
  <si>
    <t>3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</si>
  <si>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капитальный ремонт и ремонт дворовых территорий многоквартирных домов, проездов к дворовым территориям многоквартирных домов</t>
  </si>
  <si>
    <t>Мероприятия в области жилищно-коммунального хозяйства</t>
  </si>
  <si>
    <t xml:space="preserve">Молодежная политика </t>
  </si>
  <si>
    <t>340</t>
  </si>
  <si>
    <t>Стипендии</t>
  </si>
  <si>
    <t>25 0 00 00000</t>
  </si>
  <si>
    <t>25 1 00 00000</t>
  </si>
  <si>
    <t>25 1 00 44030</t>
  </si>
  <si>
    <t>25 2 00 00000</t>
  </si>
  <si>
    <t>Дополнительное образование детей</t>
  </si>
  <si>
    <t>МП "Организация отдыха и оздоровления детей Няндомского района"</t>
  </si>
  <si>
    <t>Молодежная политика</t>
  </si>
  <si>
    <t>25 1 00 78320</t>
  </si>
  <si>
    <t>Подпрограмма "Проведение капитального ремонта муниципального жилого фонда в Няндомском районе"</t>
  </si>
  <si>
    <t>22 3 00 48220</t>
  </si>
  <si>
    <t>МП "Строительство, ремонт и содержание муниципального жилого  фонда"</t>
  </si>
  <si>
    <t>Обеспечение проведения выборов и референдумов</t>
  </si>
  <si>
    <t>Прочие выплаты по обязательствам органов местного самоуправления</t>
  </si>
  <si>
    <t>02 1 00 78390</t>
  </si>
  <si>
    <t>02 2 00 78390</t>
  </si>
  <si>
    <t>11 1 00 88910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</si>
  <si>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</si>
  <si>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</si>
  <si>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26 0 00 51200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</si>
  <si>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</si>
  <si>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</si>
  <si>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</si>
  <si>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</si>
  <si>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Лесное хозяйство</t>
  </si>
  <si>
    <t>МП "Развитие транспортной системы Няндомского района"</t>
  </si>
  <si>
    <t xml:space="preserve">МП "Развитие коммунальной инфраструктуры Няндомского района" </t>
  </si>
  <si>
    <t>07 0 00 43560</t>
  </si>
  <si>
    <t>06 0 00 00000</t>
  </si>
  <si>
    <t>Выполнение полномочий городского поселения в сфере организация досуга</t>
  </si>
  <si>
    <t>26 0 00 40100</t>
  </si>
  <si>
    <t>110</t>
  </si>
  <si>
    <t>Расходы на выплаты персоналу казенных учреждений</t>
  </si>
  <si>
    <t>КУЛЬТУРА, КИНЕМАТОГРАФИЯ</t>
  </si>
  <si>
    <t>Питание обучающихся  с ограниченными возможностями здоровья</t>
  </si>
  <si>
    <t>02 2 00 47020</t>
  </si>
  <si>
    <t>02 2 00 S8330</t>
  </si>
  <si>
    <t>26 0 00 78791</t>
  </si>
  <si>
    <t>21 0 00 40030</t>
  </si>
  <si>
    <t>27 0 00 00000</t>
  </si>
  <si>
    <t>27 0 00 40010</t>
  </si>
  <si>
    <t>13 1 00 L4670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</si>
  <si>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</si>
  <si>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</si>
  <si>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Межбюджетные трансферты общего характера бюджетам бюджетной сиситемы Российской Федерации</t>
  </si>
  <si>
    <t>Выполнение полномочий городского поселения в сфере организации досуга</t>
  </si>
  <si>
    <t>11 1 00 S8520</t>
  </si>
  <si>
    <t>МП "Комплексное развитие сельских территорий Няндомского района"</t>
  </si>
  <si>
    <t xml:space="preserve">Текущий ремонт зданий бюджетных и автономных учреждений </t>
  </si>
  <si>
    <t xml:space="preserve">Повышение квалификации и привлечение кадрового потенциала в бюджетных и автономных учреждениях </t>
  </si>
  <si>
    <t>Обеспечение безопасных условий в бюджетных и автономных учреждениях</t>
  </si>
  <si>
    <t>Развитие и укрепление материально-технической базы бюджетных и автономных  учреждений</t>
  </si>
  <si>
    <t xml:space="preserve">Мероприятия в сфере  физической культуры и спорта </t>
  </si>
  <si>
    <t>Меры социальной поддержки квалифицированных специалистов на селе</t>
  </si>
  <si>
    <t xml:space="preserve">Дотации на выравнивание бюджетной обеспеченности поселений </t>
  </si>
  <si>
    <t>Выполнение полномочий городского поселения в сфере организации библиотечного обслуживания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</si>
  <si>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</si>
  <si>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</si>
  <si>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Реализация образовательных программ</t>
  </si>
  <si>
    <t>18 1 00 48420</t>
  </si>
  <si>
    <t>18 1 00 S8420</t>
  </si>
  <si>
    <t>18 2  00 00000</t>
  </si>
  <si>
    <t>18 2 00 41170</t>
  </si>
  <si>
    <t>18 2 00 S8410</t>
  </si>
  <si>
    <t>12 0 00 78700</t>
  </si>
  <si>
    <t>МП «Комплексное развитие сельских территорий Няндомского района»</t>
  </si>
  <si>
    <t>24 1 00 00000</t>
  </si>
  <si>
    <t>24 1 00 L5760</t>
  </si>
  <si>
    <t>Обеспечение комплексного развития сельских территорий</t>
  </si>
  <si>
    <t>24 2 00 00000</t>
  </si>
  <si>
    <t>МП "Малое и среднее предпринимательство и поддержка индивидуальной предпринимательской инициативы в Няндомском районе"</t>
  </si>
  <si>
    <t>25 2 0044070</t>
  </si>
  <si>
    <t>25 2 00 44050</t>
  </si>
  <si>
    <t>70 0 00 00000</t>
  </si>
  <si>
    <t>Мероприятия по реализации государственных функций, связанных с общегосударственным управлением</t>
  </si>
  <si>
    <t>70 0 00 40030</t>
  </si>
  <si>
    <t>Исполнение судебных актов</t>
  </si>
  <si>
    <t>Подпрограмма "Поддержание устойчивого исполнения бюджетов поселений Няндомского района"</t>
  </si>
  <si>
    <t>13 2 00 88910</t>
  </si>
  <si>
    <t>Подпрограмма "Создание условий для обеспечения доступным и комфортным жильем сельского населения"</t>
  </si>
  <si>
    <t>Подпрограмма «Создание и развитие инфраструктуры на сельских территориях»</t>
  </si>
  <si>
    <t xml:space="preserve">600 </t>
  </si>
  <si>
    <t>905</t>
  </si>
  <si>
    <t>Обеспечение деятельности подведомственных учреждений</t>
  </si>
  <si>
    <t>13 1 00 40210</t>
  </si>
  <si>
    <t>13 1 00 40220</t>
  </si>
  <si>
    <t>Текущий ремонт зданий бюджетных и автономных учреждений</t>
  </si>
  <si>
    <t>13 1 00 44050</t>
  </si>
  <si>
    <t>13 1 00 44070</t>
  </si>
  <si>
    <t>Мероприятия в сфере культуры и искусства</t>
  </si>
  <si>
    <t>13 1 00 45050</t>
  </si>
  <si>
    <t>Выполнение полномочий гордского поселения в сфере организации библиотечного обслуживания</t>
  </si>
  <si>
    <t>Субсидия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</si>
  <si>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Капитальный ремонт зданий бюджетных и автономных учреждений</t>
  </si>
  <si>
    <t>02 2 00 44040</t>
  </si>
  <si>
    <t>13 3 00 00000</t>
  </si>
  <si>
    <t>13 3 00 40100</t>
  </si>
  <si>
    <t>13 3 00 40210</t>
  </si>
  <si>
    <t>13 3 00 44010</t>
  </si>
  <si>
    <t>13 3 00 44070</t>
  </si>
  <si>
    <t>13 3 00 44080</t>
  </si>
  <si>
    <t>13 3 00 44050</t>
  </si>
  <si>
    <t>13 3 00 78390</t>
  </si>
  <si>
    <t xml:space="preserve">МП «Управление муниципальными финансами и муниципальным долгом Няндомского района» </t>
  </si>
  <si>
    <t>Мероприятия по развитию физической культуры и спорта в муниципальных образованиях</t>
  </si>
  <si>
    <t xml:space="preserve">Мероприятия по реализации молодежной политики в муниципальных образованиях </t>
  </si>
  <si>
    <t>09 1 00 00000</t>
  </si>
  <si>
    <t>Подпрограмма «Создание условий для обеспечения доступным и комфортным жильем сельского населения»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</si>
  <si>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</si>
  <si>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02 2 00 S6880</t>
  </si>
  <si>
    <t>Развитие территориального общественного самоуправления в Архангельской области</t>
  </si>
  <si>
    <t>Реализация муниципальных программ поддержки социально ориентированных некоммерческих организаций</t>
  </si>
  <si>
    <t>МП «Развитие сферы культуры и туризма на территории города Няндома и Няндомского района»</t>
  </si>
  <si>
    <t>Подпрограмма «Развитие культуры на территории города Няндома и Няндомского района»</t>
  </si>
  <si>
    <t xml:space="preserve">Мероприятия в сфере физической культуры и спорта </t>
  </si>
  <si>
    <t>02 3 00 44010</t>
  </si>
  <si>
    <t>Мероприятия в сфере физической культуры и спорта</t>
  </si>
  <si>
    <t>МП «Управление муниципальными финансами и муниципальным долгом Няндомского района"</t>
  </si>
  <si>
    <t xml:space="preserve">Резервные фонды </t>
  </si>
  <si>
    <t>Подпрограмма «Управление муниципальным долгом Няндомского района»</t>
  </si>
  <si>
    <t>Подпрограмма "Управление муниципальным долгом Няндомского района"</t>
  </si>
  <si>
    <t>МП «Управление муниципальным долгом Няндомского района"</t>
  </si>
  <si>
    <t xml:space="preserve">                                                                                     к решению Собрания депутатов</t>
  </si>
  <si>
    <t>Управление строительства, архитектуры и жилищно-коммунального хозяйства администрации Няндомского муниципального района Архангельской области</t>
  </si>
  <si>
    <t>15 0 00 S812Д</t>
  </si>
  <si>
    <t>МП "Демографическая политика и социальная поддержка граждан Няндомского района"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</si>
  <si>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</si>
  <si>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Адресная программа Архангельской области "Переселение граждан из аварийного жилищного фонда на 2019 - 2025 годы"</t>
  </si>
  <si>
    <t>51 0 00 00000</t>
  </si>
  <si>
    <t>51 0 00 67483</t>
  </si>
  <si>
    <t>51 0 00 67484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</si>
  <si>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</si>
  <si>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</si>
  <si>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МП "Управление муниципальным имуществом и земельными ресурсами Няндомского района"</t>
  </si>
  <si>
    <t xml:space="preserve">МП "Развитие жилищного строительства в Няндомском районе" </t>
  </si>
  <si>
    <t>МП "Развитие сельского хозяйства в Няндомском районе"</t>
  </si>
  <si>
    <t>Другие вопросы в области жилищно-коммунального хозяйства</t>
  </si>
  <si>
    <t>24 0 00 00000</t>
  </si>
  <si>
    <t>Администрация Няндомского муниципального района Архангельской области</t>
  </si>
  <si>
    <t>Управление финансов администрации Няндомского муниципального района Архангельской области</t>
  </si>
  <si>
    <t>Собрание депутатов Няндомского муниципального района Архангельской области</t>
  </si>
  <si>
    <t>Управление образования администрации Няндомского муниципального района Архангельской области</t>
  </si>
  <si>
    <t>Управление социальной политики администрации Няндомского муниципального района Архангельской области</t>
  </si>
  <si>
    <t>Комитет по управлению муниципальным имуществом и земельными ресурсами администрации Няндомского муниципального района Архангельской области</t>
  </si>
  <si>
    <t>10 0 00 00000</t>
  </si>
  <si>
    <t>МП "Формирование современной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</si>
  <si>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</si>
  <si>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10 0 00 54240</t>
  </si>
  <si>
    <t>Другие вопросы в области социальной политики</t>
  </si>
  <si>
    <t>МП "Совершенствование деятельности по опеке и попечительству на территории Няндомского района"</t>
  </si>
  <si>
    <t>23 0 00  00000</t>
  </si>
  <si>
    <t>23 0 00 78730</t>
  </si>
  <si>
    <t>Осуществление государственных полномочий по выплате вознаграждений профессиональным опекунам</t>
  </si>
  <si>
    <t>МП "Совершенствование муниципального управления в администрации Няндомского района"</t>
  </si>
  <si>
    <t>МП "Содействие развития институтов гражданского общества в Няндомском районе"</t>
  </si>
  <si>
    <t>Развитие и укрепление материально-технической базы бюджетных и автономных учреждений</t>
  </si>
  <si>
    <t>02 1  00 44080</t>
  </si>
  <si>
    <t xml:space="preserve">Капитальный ремонт зданий бюджетных и автономных учреждений </t>
  </si>
  <si>
    <t>02 3 00 44040</t>
  </si>
  <si>
    <t xml:space="preserve">МП «Развитие образования в Няндомском районе» </t>
  </si>
  <si>
    <t xml:space="preserve">МП «Энергосбережение и повышение энергетической эффективности на территории Няндомского района» </t>
  </si>
  <si>
    <t>МП "Развитие физической культуры, спорта и создание условий для формирования здорового образа жизни на территории Няндомского района"</t>
  </si>
  <si>
    <t xml:space="preserve"> МП "Профилактика правонарушений и противодействие преступности на территории Няндомского района" </t>
  </si>
  <si>
    <t>МП "Молодежь города Няндома и Няндомского района"</t>
  </si>
  <si>
    <t>14 0 00 00000</t>
  </si>
  <si>
    <t>Подпрограмма "Развитие дошкольного образования  в Няндомском районе"</t>
  </si>
  <si>
    <t>Подпрограмма "Развитие общего образования в Няндомском районе"</t>
  </si>
  <si>
    <t>Подпрограмма "Развитие  дополнительного образования детей в Няндомском районе"</t>
  </si>
  <si>
    <t>МП "Развитие образования в Няндомском районе"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</si>
  <si>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</si>
  <si>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2 00 S6600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</si>
  <si>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</si>
  <si>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Подпрограмма "Развитие физической культуры и спорта в городе Няндома и  Няндомском районе"</t>
  </si>
  <si>
    <t>26 0 00 78793</t>
  </si>
  <si>
    <t>22 1 00 78793</t>
  </si>
  <si>
    <t>Подпрограмма  "Крепкая семья"</t>
  </si>
  <si>
    <t>03 2 00 78910</t>
  </si>
  <si>
    <t>28 0 00 00000</t>
  </si>
  <si>
    <t>МП " Укрепление общественного здоровья населения Няндомского района"</t>
  </si>
  <si>
    <t xml:space="preserve">28 0 00 40540 </t>
  </si>
  <si>
    <t>23 0 00 00000</t>
  </si>
  <si>
    <t>23 0 00 40540</t>
  </si>
  <si>
    <t>28 0 00 40540</t>
  </si>
  <si>
    <t>08 0 00 40540</t>
  </si>
  <si>
    <t>Софинансирование мероприятий по предотвращению распространения сорного растения борщевика Сосновского на землях сельскохозяйственного назначения</t>
  </si>
  <si>
    <t>05 0 00 40030</t>
  </si>
  <si>
    <t>06 0 00 40030</t>
  </si>
  <si>
    <t>06 0 00 40320</t>
  </si>
  <si>
    <t>Разработка проектно-сметной документации</t>
  </si>
  <si>
    <t>14 0 00 44020</t>
  </si>
  <si>
    <t>14 0 00 88910</t>
  </si>
  <si>
    <t>14 0 00 88920</t>
  </si>
  <si>
    <t>Подпрограмма «Развитие муниципального бюджетного учреждения «Няндомская спортивная школа»</t>
  </si>
  <si>
    <t>20 0 00 00000</t>
  </si>
  <si>
    <t>20 0 00 40540</t>
  </si>
  <si>
    <t>02 2 00 S6560</t>
  </si>
  <si>
    <t>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</si>
  <si>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02 2 00 S6980</t>
  </si>
  <si>
    <t>Обеспечение условий для развития кадрового потенциала муниципальных образовательных организаций Архангельской области</t>
  </si>
  <si>
    <t>02 3 00 44060</t>
  </si>
  <si>
    <t>25 2 0044080</t>
  </si>
  <si>
    <t>16 0 00 43570</t>
  </si>
  <si>
    <t>Подпрограмма «Нормативно-методическое и информационное обеспечение и организация бюджетного процесса Няндомского района и муниципального образования «Няндомское»</t>
  </si>
  <si>
    <t>29 0 00 00000</t>
  </si>
  <si>
    <t>29 0 00 40010</t>
  </si>
  <si>
    <t>Обеспечение деятельности Собрания депутатов Няндомского района</t>
  </si>
  <si>
    <t>11 2 00 40100</t>
  </si>
  <si>
    <t>11 2 00 40210</t>
  </si>
  <si>
    <t>11 2 00 44060</t>
  </si>
  <si>
    <t>11 2 00 44070</t>
  </si>
  <si>
    <t>11 2 00 45410</t>
  </si>
  <si>
    <t>11 2 00 S8520</t>
  </si>
  <si>
    <t>14 0 00 S8530</t>
  </si>
  <si>
    <t>МП "Профилактика  безнадзорности и правонарушений несовершеннолетних в  Няндомском районе"</t>
  </si>
  <si>
    <t>Подпрограмма «Нормативно-методическое и информационное обеспечение и организация бюджетного процесса Няндомского района» и муниципального образования «Няндомское»</t>
  </si>
  <si>
    <t>Резервный фонд администрации Няндомского муниципального района Архангельской области</t>
  </si>
  <si>
    <t>Обеспечение деятельности Собрания депутатов Няндомского муниципального района Архангельской области</t>
  </si>
  <si>
    <t>Председатель Собрания депутатов Няндомского муниципального района Архангельской области</t>
  </si>
  <si>
    <t>02 4 00 40010</t>
  </si>
  <si>
    <t>02 4 00 00000</t>
  </si>
  <si>
    <t>Подпрограмма "Обеспечение функционирования и развития системы образования в Няндомском районе"</t>
  </si>
  <si>
    <t>МП "Управление муниципальным имуществом и земельными ресурсам Няндомского района"</t>
  </si>
  <si>
    <t>Контрольно-счётная палата Няндомского муниципального района Архангельской области</t>
  </si>
  <si>
    <t>Обеспечение деятельности контрольно-счетной палаты Няндомского муниципального района Архангельской области</t>
  </si>
  <si>
    <t>Председатель контрольно-счетной палаты Няндомского муниципального района Архангельской области</t>
  </si>
  <si>
    <t>Контрольно-счетная палата Няндомского муниципального района Архангельской области</t>
  </si>
  <si>
    <t>МП "Обеспечение и совершенствование деятельности Управления строительства, архитектуры и жилищно-коммунального хозяйства администрации Няндомского муниципального района Архангельской области"</t>
  </si>
  <si>
    <t>02 4 00 44010</t>
  </si>
  <si>
    <t>Подпрограмма «Нормативно-методическое и информационное обеспечение и организация бюджетного процесса  Няндомского района"</t>
  </si>
  <si>
    <t>02 3 00 40101</t>
  </si>
  <si>
    <t>Внедрение модели персонифицированного финансирования дополнительного образования детей</t>
  </si>
  <si>
    <t>Внедрение модели персонифицированного  финансирования дополнительного образования детей</t>
  </si>
  <si>
    <t xml:space="preserve">                                                                                     Няндомского муниципального района</t>
  </si>
  <si>
    <t xml:space="preserve">                                                                                     Архангельской области</t>
  </si>
  <si>
    <t>Няндомского муниципального района</t>
  </si>
  <si>
    <t>Архангельской области</t>
  </si>
  <si>
    <t>МП "Содействие развитию институтов гражданского общества в Няндомском районе"</t>
  </si>
  <si>
    <t>Подпрограмма "Развитие территориального общественного самоуправления в Няндомском районе"</t>
  </si>
  <si>
    <t>Подпрограмма "Поддержка гражданских инициатив и социально ориентированных некоммерческих организаций в Няндомском районе"</t>
  </si>
  <si>
    <t xml:space="preserve">Гражданская оборона
</t>
  </si>
  <si>
    <t>Обслуживание государственного (муниципального) внутреннего долга</t>
  </si>
  <si>
    <t xml:space="preserve">Коммунальное хозяйство </t>
  </si>
  <si>
    <t>Гражданская оборона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</si>
  <si>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</si>
  <si>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</si>
  <si>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02 2 00 53030</t>
  </si>
  <si>
    <t>МП «Обеспечение безопасности населения"</t>
  </si>
  <si>
    <t>Распределение бюджетных ассигнований на реализацию бюджета Няндомского муниципального района Архангельской области и непрограммных направлений деятельности на 2022 год</t>
  </si>
  <si>
    <t>Ведомственная структура расходов бюджета Няндомского муниципального района Архангельской области на 2022 год</t>
  </si>
  <si>
    <t>МП «Обеспечение безопасности населения»</t>
  </si>
  <si>
    <t>Распределение бюджетных ассигнований  по разделам и подразделам классификации расходов бюджета  Няндомского муниципального района Архангельской области на 2022 год</t>
  </si>
  <si>
    <t>Выравнивание бюджетной обеспеченности поселений</t>
  </si>
  <si>
    <t>21 0 00 78770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</si>
  <si>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</si>
  <si>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</si>
  <si>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00 R0820</t>
  </si>
  <si>
    <t>906</t>
  </si>
  <si>
    <t>Отдел опеки и попечительства администрации Няндомского муниципального района Архангельской области</t>
  </si>
  <si>
    <t xml:space="preserve">Реконструкция и капитальный ремонт муниципальных музеев
</t>
  </si>
  <si>
    <t>13 2 00 55970</t>
  </si>
  <si>
    <t>Реконструкция и капитальный ремонт муниципальных музеев</t>
  </si>
  <si>
    <t>23 0 00 78792</t>
  </si>
  <si>
    <t>13 1 00 55130</t>
  </si>
  <si>
    <t>Субсидии на развитие сети учреждений культурно-досугового типа</t>
  </si>
  <si>
    <t>в т.ч. Обл-1 250 000, район.-100 000</t>
  </si>
  <si>
    <t>в т.ч. Обл-7 963 168,35, район.-599 378,26 (нац.проект)</t>
  </si>
  <si>
    <t>Субсидия на государственную поддержку отрасли культуры(комплектование книжных фондов муниципальных библиотек)</t>
  </si>
  <si>
    <t>13 1 00 L5198</t>
  </si>
  <si>
    <t>в т.ч. Обл-206 905,35, район.-15 573,52</t>
  </si>
  <si>
    <t xml:space="preserve"> МП  "Формирование современной городской среды"</t>
  </si>
  <si>
    <t>09 1 00 40100</t>
  </si>
  <si>
    <t>Подпрограмма «Организация мероприятий по гражданской обороне, предупреждение чрезвычайных ситуаций и ликвидация их последствий, развитие единой дежурно-диспетчерской службы»</t>
  </si>
  <si>
    <t>Подпрограмма "Безопасность людей на водных объектах"</t>
  </si>
  <si>
    <t>13 2 00 S8550</t>
  </si>
  <si>
    <t>Мероприятия по реализации приоритетных проектов в сфере туризма</t>
  </si>
  <si>
    <t>21 0 00 L5110</t>
  </si>
  <si>
    <t>Проведение комплексных кадастровых работ</t>
  </si>
  <si>
    <t>19 0 00 S6790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</si>
  <si>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</si>
  <si>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19 0 00 40300</t>
  </si>
  <si>
    <t>Подпрограмма "Мир и согласие.Новые возможности"</t>
  </si>
  <si>
    <t>18 3 00 00000</t>
  </si>
  <si>
    <t>18 3 00 41170</t>
  </si>
  <si>
    <t>18 3  00 00000</t>
  </si>
  <si>
    <t>13 1 00 44040</t>
  </si>
  <si>
    <t>13 1 00 44080</t>
  </si>
  <si>
    <t>13 1 00 42080</t>
  </si>
  <si>
    <t>Мероприятия в сфере энергосбережения и повышения энегетической эффективности Няндомского района</t>
  </si>
  <si>
    <t>13 1 00 40990</t>
  </si>
  <si>
    <t>Реализация подпрограммы муниципальной программы, непрограммных направлений расходов районного бюджета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</si>
  <si>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</si>
  <si>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02 2 00 40990</t>
  </si>
  <si>
    <t>02 2 00 S8240</t>
  </si>
  <si>
    <t>02 2 00 L3042</t>
  </si>
  <si>
    <t>02 3 00 44050</t>
  </si>
  <si>
    <t>13 3 00 44040</t>
  </si>
  <si>
    <t>11 2 00 44080</t>
  </si>
  <si>
    <t>11 2 00 50810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</si>
  <si>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</si>
  <si>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11 1 00 40990</t>
  </si>
  <si>
    <t>02 2 00 44080</t>
  </si>
  <si>
    <t>02 2 00S8240</t>
  </si>
  <si>
    <t>310</t>
  </si>
  <si>
    <t>Публичные нормативные социальные выплаты гражданам</t>
  </si>
  <si>
    <t>02 1 00 44070</t>
  </si>
  <si>
    <t>02 1 00 44080</t>
  </si>
  <si>
    <t>Подпрограмма "Развитие муниципального бюджетного учреждения дополнительного образования «Детская школа искусств города Няндома»"</t>
  </si>
  <si>
    <t xml:space="preserve"> Подпрограмма "Развитие туризма на территории города Няндома и Няндомского района"</t>
  </si>
  <si>
    <t>Подпрограмма "Развитие туризма на территории города Няндома и Няндомского района"</t>
  </si>
  <si>
    <t>МП «Обеспечение и совершенствование деятельности администрации
 Няндомского муниципального района Архангельской области»</t>
  </si>
  <si>
    <t>МП "Обеспечение и совершенствование деятельности Управления социальной политики администрации Няндомского  района Архангельской области"</t>
  </si>
  <si>
    <t>Ремонт муниципального жилого фонда</t>
  </si>
  <si>
    <t>19 0 00 S6360</t>
  </si>
  <si>
    <t>Организация транспортного обслуживания населения на пассажирских муниципальных маршрутах автомобильного транспорта</t>
  </si>
  <si>
    <t xml:space="preserve">                                                                                              от 23 декабря 2021 года  № 185</t>
  </si>
  <si>
    <t>от 23 декабря 2021 года  № 185</t>
  </si>
  <si>
    <t>от 23  декабря 2021 года  № 185</t>
  </si>
  <si>
    <t xml:space="preserve">                                                                                    "ПРИЛОЖЕНИЕ  6</t>
  </si>
  <si>
    <t>"</t>
  </si>
  <si>
    <t>"ПРИЛОЖЕНИЕ 8</t>
  </si>
  <si>
    <t>"ПРИЛОЖЕНИЕ 10</t>
  </si>
  <si>
    <t>5</t>
  </si>
  <si>
    <t>6</t>
  </si>
  <si>
    <t>Проект,                                     тыс. рублей</t>
  </si>
  <si>
    <t>Утверждено,                                     тыс. рублей</t>
  </si>
  <si>
    <t>Отклонение,                                     тыс. рублей</t>
  </si>
  <si>
    <t>8</t>
  </si>
  <si>
    <t>9</t>
  </si>
  <si>
    <t>13 1 00 S6820</t>
  </si>
  <si>
    <t>Субсидии на комлектование книжных фондов бибилиотек муниципальных образований Архангельской области и подписку на периодическую печать</t>
  </si>
  <si>
    <t>24 2 00 S0310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</si>
  <si>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</si>
  <si>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830</t>
  </si>
  <si>
    <t>07 0 00 S6640</t>
  </si>
  <si>
    <t>Разработка пректно-сметной документации для строительства и реконструкции (модернизации) объектов питьевого водоснабжения</t>
  </si>
  <si>
    <t>24 1 00 S0310</t>
  </si>
  <si>
    <t>13 3 A2 55194</t>
  </si>
  <si>
    <t>Cубсидии на государственную поддержку отрасли культуры (государственная поддержка лучших работников сельских учреждений культуры)</t>
  </si>
  <si>
    <t>06 0 00 40300</t>
  </si>
  <si>
    <t>Строительство и реконструкция объектов капитального строительства муниципальной собственности Няндомского муниципального района Архангельской области</t>
  </si>
  <si>
    <t>11 2 00 43570</t>
  </si>
  <si>
    <t>13 2 00 76810</t>
  </si>
  <si>
    <t>Ремонт зданий муниципальных учреждений культуры</t>
  </si>
  <si>
    <t>02 2 00 78180</t>
  </si>
  <si>
    <t>Капитальный ремонт зданий муниципальных общеобразовательных организаций</t>
  </si>
  <si>
    <t>Реализация мероприятий по модернизации школьных систем образования</t>
  </si>
  <si>
    <t>02 2 00 L7500</t>
  </si>
  <si>
    <t>13 1 00 76810</t>
  </si>
  <si>
    <t>Обеспечение деятельности избирательной комиссии Няндомского района</t>
  </si>
  <si>
    <t>63 0 00 00000</t>
  </si>
  <si>
    <t>Проведение выборов  депутатов Няндомского района</t>
  </si>
  <si>
    <t>63 4 00 00000</t>
  </si>
  <si>
    <t>Проведение выборов в органы местного самоуправления</t>
  </si>
  <si>
    <t>63 4 00 41160</t>
  </si>
  <si>
    <t>Специальные расходы</t>
  </si>
  <si>
    <t>880</t>
  </si>
  <si>
    <t>02 2 00 S4900</t>
  </si>
  <si>
    <t>Оснащение объектов строительства сферы образования муниципальных образований Архангельской области</t>
  </si>
  <si>
    <t>02 2 0050970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</si>
  <si>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</si>
  <si>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Субсидия на повышение средней заработной платы работников муниципальных учреждений культуры</t>
  </si>
  <si>
    <t>13 1 00 S8311</t>
  </si>
  <si>
    <t>13 1 00 S8312</t>
  </si>
  <si>
    <t>11 0 00 40990</t>
  </si>
  <si>
    <t>51 0 00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</si>
  <si>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</si>
  <si>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16 0 00 41400</t>
  </si>
  <si>
    <t>16 0 00 L2990</t>
  </si>
  <si>
    <t>Реализация федеральной целевой программы "Увековечение памяти погибших при защите Отечества на 2019 - 2024 годы"</t>
  </si>
  <si>
    <t>02 2 00 50970</t>
  </si>
  <si>
    <t>11 2 00 44040</t>
  </si>
  <si>
    <t>02 2 00 78900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</si>
  <si>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</si>
  <si>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02 2 00 43570</t>
  </si>
  <si>
    <t>02 0 00 76850</t>
  </si>
  <si>
    <t>Реализация мероприятий по антитеррористической защищенности муниципальных образовательных организаций в Архангельской области (учреждениям общего образования)</t>
  </si>
  <si>
    <t>63 4 00 74750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</si>
  <si>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</si>
  <si>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</si>
  <si>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</si>
  <si>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02 3 00 40990</t>
  </si>
  <si>
    <t>13 3 00 S6620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</si>
  <si>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</si>
  <si>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11 1 00 40320</t>
  </si>
  <si>
    <t>СОЦИАЛЬНАЯ ПОЛИТИКА</t>
  </si>
  <si>
    <t>Подготовка проектов межевания земельных участков и проведение кадастровых работ</t>
  </si>
  <si>
    <t>05 0 00 L5990</t>
  </si>
  <si>
    <t xml:space="preserve"> Мероприятия в сфере гражданской обороны и защиты населения и территорий Няндомского района от чрезвычайных ситуаций, осуществляемые органами местного самоуправления</t>
  </si>
  <si>
    <t>09 1 00 41510</t>
  </si>
  <si>
    <t>02 1 00 76960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</si>
  <si>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</si>
  <si>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02 2 00 76960</t>
  </si>
  <si>
    <t>02 1 00 43570</t>
  </si>
  <si>
    <t>26 0 00 74790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</si>
  <si>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</t>
  </si>
  <si>
    <t>02 0 00 71400</t>
  </si>
  <si>
    <t>Резервный фонд Правительства Архангельской области</t>
  </si>
  <si>
    <t>02 2 00 S6440</t>
  </si>
  <si>
    <t>МП «Энергосбережение и повышение энергетической эффективности на территории Няндомского района»</t>
  </si>
  <si>
    <t>70.0.00.40030</t>
  </si>
  <si>
    <t xml:space="preserve">                                                                                    ПРИЛОЖЕНИЕ  3</t>
  </si>
  <si>
    <t xml:space="preserve">                                                                                  Пояснительная к  ПРИЛОЖЕНИЮ  3</t>
  </si>
  <si>
    <t>ПРИЛОЖЕНИЕ 5</t>
  </si>
  <si>
    <t>Пояснительная к ПРИЛОЖЕНИЮ 5</t>
  </si>
  <si>
    <t>26 0 00 78030</t>
  </si>
  <si>
    <t>Поддержка мер по обеспечению сбалансированности местных бюджетов</t>
  </si>
  <si>
    <t>70 0 00 41400</t>
  </si>
  <si>
    <t>22 3 00 78030</t>
  </si>
  <si>
    <t>Иные дотации</t>
  </si>
  <si>
    <t>02 1 00 78030</t>
  </si>
  <si>
    <t>02 0 00 78030</t>
  </si>
  <si>
    <t>02 3 00 78030</t>
  </si>
  <si>
    <t>13 3 00 78030</t>
  </si>
  <si>
    <t>02 2 00 78030</t>
  </si>
  <si>
    <t>ПРИЛОЖЕНИЕ 4</t>
  </si>
  <si>
    <t>Пояснительная к ПРИЛОЖЕНИЮ 4</t>
  </si>
  <si>
    <t>02 2 00 74660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</si>
  <si>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</si>
  <si>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02 0 00 74660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</si>
  <si>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годы"</t>
  </si>
  <si>
    <t>02 3 00 78300</t>
  </si>
  <si>
    <t>13 3 00 78300</t>
  </si>
  <si>
    <t xml:space="preserve">                                                                                           от  ___________2022 года  № ____</t>
  </si>
  <si>
    <t xml:space="preserve"> от _____________ 2022 года  № ____</t>
  </si>
  <si>
    <t>от ___________ 2022 года  № ___</t>
  </si>
  <si>
    <t>13 3 00 S8300</t>
  </si>
  <si>
    <t>24 2 00 L635F</t>
  </si>
  <si>
    <t>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</si>
</sst>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  <numFmt numFmtId="198" formatCode="#,##0.00&quot;р.&quot;"/>
    <numFmt numFmtId="199" formatCode="#,##0.00_р_.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0" xfId="62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185" fontId="66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6" fillId="33" borderId="0" xfId="0" applyFont="1" applyFill="1" applyAlignment="1">
      <alignment horizontal="left"/>
    </xf>
    <xf numFmtId="0" fontId="66" fillId="33" borderId="0" xfId="0" applyFont="1" applyFill="1" applyBorder="1" applyAlignment="1">
      <alignment/>
    </xf>
    <xf numFmtId="185" fontId="66" fillId="33" borderId="0" xfId="0" applyNumberFormat="1" applyFont="1" applyFill="1" applyBorder="1" applyAlignment="1">
      <alignment/>
    </xf>
    <xf numFmtId="198" fontId="4" fillId="33" borderId="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185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85" fontId="8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85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99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5" fontId="11" fillId="33" borderId="11" xfId="0" applyNumberFormat="1" applyFont="1" applyFill="1" applyBorder="1" applyAlignment="1">
      <alignment/>
    </xf>
    <xf numFmtId="185" fontId="12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13" fillId="33" borderId="12" xfId="0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70" fillId="33" borderId="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6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5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ill="1" applyAlignment="1">
      <alignment/>
    </xf>
    <xf numFmtId="185" fontId="4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5" fillId="33" borderId="14" xfId="0" applyNumberFormat="1" applyFont="1" applyFill="1" applyBorder="1" applyAlignment="1">
      <alignment/>
    </xf>
    <xf numFmtId="185" fontId="5" fillId="33" borderId="11" xfId="0" applyNumberFormat="1" applyFont="1" applyFill="1" applyBorder="1" applyAlignment="1">
      <alignment/>
    </xf>
    <xf numFmtId="187" fontId="4" fillId="33" borderId="0" xfId="0" applyNumberFormat="1" applyFont="1" applyFill="1" applyBorder="1" applyAlignment="1">
      <alignment/>
    </xf>
    <xf numFmtId="187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185" fontId="5" fillId="0" borderId="11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0" fontId="12" fillId="0" borderId="0" xfId="62" applyNumberFormat="1" applyFont="1" applyFill="1" applyAlignment="1">
      <alignment/>
    </xf>
    <xf numFmtId="187" fontId="12" fillId="0" borderId="0" xfId="0" applyNumberFormat="1" applyFont="1" applyFill="1" applyBorder="1" applyAlignment="1">
      <alignment/>
    </xf>
    <xf numFmtId="187" fontId="12" fillId="0" borderId="0" xfId="0" applyNumberFormat="1" applyFont="1" applyFill="1" applyAlignment="1">
      <alignment/>
    </xf>
    <xf numFmtId="185" fontId="5" fillId="33" borderId="11" xfId="0" applyNumberFormat="1" applyFont="1" applyFill="1" applyBorder="1" applyAlignment="1">
      <alignment horizontal="right"/>
    </xf>
    <xf numFmtId="185" fontId="4" fillId="33" borderId="11" xfId="0" applyNumberFormat="1" applyFont="1" applyFill="1" applyBorder="1" applyAlignment="1">
      <alignment horizontal="right"/>
    </xf>
    <xf numFmtId="185" fontId="5" fillId="33" borderId="15" xfId="0" applyNumberFormat="1" applyFont="1" applyFill="1" applyBorder="1" applyAlignment="1">
      <alignment/>
    </xf>
    <xf numFmtId="185" fontId="4" fillId="33" borderId="16" xfId="0" applyNumberFormat="1" applyFont="1" applyFill="1" applyBorder="1" applyAlignment="1">
      <alignment/>
    </xf>
    <xf numFmtId="185" fontId="4" fillId="33" borderId="11" xfId="0" applyNumberFormat="1" applyFont="1" applyFill="1" applyBorder="1" applyAlignment="1">
      <alignment/>
    </xf>
    <xf numFmtId="185" fontId="4" fillId="33" borderId="17" xfId="0" applyNumberFormat="1" applyFont="1" applyFill="1" applyBorder="1" applyAlignment="1">
      <alignment/>
    </xf>
    <xf numFmtId="0" fontId="15" fillId="34" borderId="14" xfId="0" applyFont="1" applyFill="1" applyBorder="1" applyAlignment="1">
      <alignment wrapText="1"/>
    </xf>
    <xf numFmtId="49" fontId="16" fillId="34" borderId="14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33" borderId="17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 vertical="center" wrapText="1"/>
    </xf>
    <xf numFmtId="49" fontId="18" fillId="33" borderId="11" xfId="0" applyNumberFormat="1" applyFont="1" applyFill="1" applyBorder="1" applyAlignment="1">
      <alignment horizontal="left"/>
    </xf>
    <xf numFmtId="0" fontId="6" fillId="33" borderId="12" xfId="53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49" fontId="16" fillId="0" borderId="11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5" fillId="34" borderId="11" xfId="0" applyFont="1" applyFill="1" applyBorder="1" applyAlignment="1">
      <alignment wrapText="1"/>
    </xf>
    <xf numFmtId="49" fontId="16" fillId="34" borderId="11" xfId="0" applyNumberFormat="1" applyFont="1" applyFill="1" applyBorder="1" applyAlignment="1">
      <alignment horizontal="left"/>
    </xf>
    <xf numFmtId="49" fontId="19" fillId="33" borderId="11" xfId="0" applyNumberFormat="1" applyFont="1" applyFill="1" applyBorder="1" applyAlignment="1">
      <alignment horizontal="left"/>
    </xf>
    <xf numFmtId="49" fontId="20" fillId="33" borderId="1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/>
    </xf>
    <xf numFmtId="197" fontId="6" fillId="0" borderId="11" xfId="54" applyNumberFormat="1" applyFont="1" applyFill="1" applyBorder="1" applyAlignment="1" applyProtection="1">
      <alignment horizontal="left" wrapText="1"/>
      <protection hidden="1"/>
    </xf>
    <xf numFmtId="0" fontId="6" fillId="33" borderId="11" xfId="0" applyFont="1" applyFill="1" applyBorder="1" applyAlignment="1">
      <alignment horizontal="justify"/>
    </xf>
    <xf numFmtId="0" fontId="8" fillId="33" borderId="11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/>
    </xf>
    <xf numFmtId="197" fontId="6" fillId="33" borderId="11" xfId="54" applyNumberFormat="1" applyFont="1" applyFill="1" applyBorder="1" applyAlignment="1" applyProtection="1">
      <alignment horizontal="left" wrapText="1"/>
      <protection hidden="1"/>
    </xf>
    <xf numFmtId="49" fontId="5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0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6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8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8" fillId="33" borderId="17" xfId="0" applyFont="1" applyFill="1" applyBorder="1" applyAlignment="1">
      <alignment horizontal="left" vertical="center" wrapText="1"/>
    </xf>
    <xf numFmtId="49" fontId="17" fillId="33" borderId="16" xfId="0" applyNumberFormat="1" applyFont="1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left"/>
    </xf>
    <xf numFmtId="49" fontId="22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/>
    </xf>
    <xf numFmtId="0" fontId="6" fillId="0" borderId="0" xfId="0" applyFont="1" applyAlignment="1">
      <alignment horizontal="justify"/>
    </xf>
    <xf numFmtId="49" fontId="8" fillId="33" borderId="11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7" fillId="33" borderId="11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 wrapText="1"/>
    </xf>
    <xf numFmtId="0" fontId="4" fillId="34" borderId="11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/>
    </xf>
    <xf numFmtId="0" fontId="19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right"/>
    </xf>
    <xf numFmtId="49" fontId="20" fillId="34" borderId="11" xfId="0" applyNumberFormat="1" applyFont="1" applyFill="1" applyBorder="1" applyAlignment="1">
      <alignment/>
    </xf>
    <xf numFmtId="0" fontId="20" fillId="34" borderId="11" xfId="0" applyNumberFormat="1" applyFont="1" applyFill="1" applyBorder="1" applyAlignment="1">
      <alignment horizontal="center"/>
    </xf>
    <xf numFmtId="49" fontId="20" fillId="34" borderId="13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185" fontId="5" fillId="33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justify" wrapText="1"/>
    </xf>
    <xf numFmtId="49" fontId="12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wrapText="1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vertical="center" wrapText="1"/>
    </xf>
    <xf numFmtId="197" fontId="12" fillId="33" borderId="11" xfId="54" applyNumberFormat="1" applyFont="1" applyFill="1" applyBorder="1" applyAlignment="1" applyProtection="1">
      <alignment horizontal="left" wrapText="1"/>
      <protection hidden="1"/>
    </xf>
    <xf numFmtId="0" fontId="11" fillId="34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wrapText="1"/>
    </xf>
    <xf numFmtId="49" fontId="13" fillId="34" borderId="16" xfId="0" applyNumberFormat="1" applyFont="1" applyFill="1" applyBorder="1" applyAlignment="1">
      <alignment horizontal="center"/>
    </xf>
    <xf numFmtId="49" fontId="13" fillId="33" borderId="16" xfId="0" applyNumberFormat="1" applyFont="1" applyFill="1" applyBorder="1" applyAlignment="1">
      <alignment horizontal="center"/>
    </xf>
    <xf numFmtId="0" fontId="12" fillId="33" borderId="18" xfId="0" applyFont="1" applyFill="1" applyBorder="1" applyAlignment="1">
      <alignment wrapText="1"/>
    </xf>
    <xf numFmtId="0" fontId="11" fillId="34" borderId="11" xfId="0" applyFont="1" applyFill="1" applyBorder="1" applyAlignment="1">
      <alignment vertical="top" wrapText="1"/>
    </xf>
    <xf numFmtId="49" fontId="13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1" fillId="33" borderId="18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0" fontId="12" fillId="33" borderId="11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wrapText="1"/>
    </xf>
    <xf numFmtId="49" fontId="13" fillId="33" borderId="11" xfId="0" applyNumberFormat="1" applyFont="1" applyFill="1" applyBorder="1" applyAlignment="1">
      <alignment/>
    </xf>
    <xf numFmtId="0" fontId="11" fillId="34" borderId="0" xfId="0" applyFont="1" applyFill="1" applyAlignment="1">
      <alignment horizontal="left" wrapText="1"/>
    </xf>
    <xf numFmtId="0" fontId="11" fillId="33" borderId="16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49" fontId="13" fillId="0" borderId="13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wrapText="1"/>
    </xf>
    <xf numFmtId="0" fontId="12" fillId="33" borderId="11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49" fontId="12" fillId="33" borderId="15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horizontal="center"/>
    </xf>
    <xf numFmtId="0" fontId="12" fillId="33" borderId="12" xfId="53" applyFont="1" applyFill="1" applyBorder="1" applyAlignment="1">
      <alignment horizontal="left" vertical="center" wrapText="1"/>
      <protection/>
    </xf>
    <xf numFmtId="49" fontId="13" fillId="33" borderId="11" xfId="0" applyNumberFormat="1" applyFont="1" applyFill="1" applyBorder="1" applyAlignment="1">
      <alignment horizontal="right"/>
    </xf>
    <xf numFmtId="0" fontId="11" fillId="34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85" fontId="11" fillId="33" borderId="11" xfId="0" applyNumberFormat="1" applyFont="1" applyFill="1" applyBorder="1" applyAlignment="1">
      <alignment horizontal="right"/>
    </xf>
    <xf numFmtId="185" fontId="12" fillId="33" borderId="11" xfId="0" applyNumberFormat="1" applyFont="1" applyFill="1" applyBorder="1" applyAlignment="1">
      <alignment horizontal="right"/>
    </xf>
    <xf numFmtId="185" fontId="12" fillId="0" borderId="11" xfId="0" applyNumberFormat="1" applyFont="1" applyFill="1" applyBorder="1" applyAlignment="1">
      <alignment/>
    </xf>
    <xf numFmtId="185" fontId="12" fillId="33" borderId="11" xfId="0" applyNumberFormat="1" applyFont="1" applyFill="1" applyBorder="1" applyAlignment="1">
      <alignment/>
    </xf>
    <xf numFmtId="185" fontId="12" fillId="33" borderId="11" xfId="0" applyNumberFormat="1" applyFont="1" applyFill="1" applyBorder="1" applyAlignment="1">
      <alignment horizontal="right" vertical="center"/>
    </xf>
    <xf numFmtId="185" fontId="11" fillId="33" borderId="11" xfId="0" applyNumberFormat="1" applyFont="1" applyFill="1" applyBorder="1" applyAlignment="1">
      <alignment/>
    </xf>
    <xf numFmtId="185" fontId="12" fillId="33" borderId="11" xfId="0" applyNumberFormat="1" applyFont="1" applyFill="1" applyBorder="1" applyAlignment="1">
      <alignment horizontal="right" vertical="center" wrapText="1"/>
    </xf>
    <xf numFmtId="185" fontId="12" fillId="33" borderId="11" xfId="0" applyNumberFormat="1" applyFont="1" applyFill="1" applyBorder="1" applyAlignment="1">
      <alignment horizontal="right" vertical="top" wrapText="1"/>
    </xf>
    <xf numFmtId="185" fontId="11" fillId="34" borderId="11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33" borderId="10" xfId="0" applyNumberFormat="1" applyFont="1" applyFill="1" applyBorder="1" applyAlignment="1">
      <alignment/>
    </xf>
    <xf numFmtId="185" fontId="12" fillId="33" borderId="22" xfId="0" applyNumberFormat="1" applyFont="1" applyFill="1" applyBorder="1" applyAlignment="1">
      <alignment/>
    </xf>
    <xf numFmtId="49" fontId="13" fillId="33" borderId="11" xfId="0" applyNumberFormat="1" applyFont="1" applyFill="1" applyBorder="1" applyAlignment="1">
      <alignment horizontal="left"/>
    </xf>
    <xf numFmtId="190" fontId="8" fillId="0" borderId="14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horizontal="right" vertical="center"/>
    </xf>
    <xf numFmtId="190" fontId="6" fillId="0" borderId="23" xfId="0" applyNumberFormat="1" applyFont="1" applyFill="1" applyBorder="1" applyAlignment="1">
      <alignment horizontal="right" vertical="center"/>
    </xf>
    <xf numFmtId="190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20" fillId="34" borderId="14" xfId="0" applyNumberFormat="1" applyFont="1" applyFill="1" applyBorder="1" applyAlignment="1">
      <alignment/>
    </xf>
    <xf numFmtId="0" fontId="20" fillId="34" borderId="14" xfId="0" applyNumberFormat="1" applyFont="1" applyFill="1" applyBorder="1" applyAlignment="1">
      <alignment horizontal="center"/>
    </xf>
    <xf numFmtId="185" fontId="4" fillId="33" borderId="0" xfId="0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185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90" fontId="12" fillId="33" borderId="0" xfId="62" applyNumberFormat="1" applyFont="1" applyFill="1" applyAlignment="1">
      <alignment/>
    </xf>
    <xf numFmtId="187" fontId="12" fillId="33" borderId="0" xfId="0" applyNumberFormat="1" applyFont="1" applyFill="1" applyBorder="1" applyAlignment="1">
      <alignment/>
    </xf>
    <xf numFmtId="187" fontId="12" fillId="33" borderId="0" xfId="0" applyNumberFormat="1" applyFont="1" applyFill="1" applyAlignment="1">
      <alignment/>
    </xf>
    <xf numFmtId="0" fontId="13" fillId="0" borderId="12" xfId="0" applyFont="1" applyFill="1" applyBorder="1" applyAlignment="1">
      <alignment wrapText="1"/>
    </xf>
    <xf numFmtId="171" fontId="4" fillId="0" borderId="0" xfId="62" applyFont="1" applyFill="1" applyAlignment="1">
      <alignment/>
    </xf>
    <xf numFmtId="4" fontId="4" fillId="0" borderId="0" xfId="0" applyNumberFormat="1" applyFont="1" applyFill="1" applyAlignment="1">
      <alignment/>
    </xf>
    <xf numFmtId="185" fontId="71" fillId="33" borderId="11" xfId="0" applyNumberFormat="1" applyFont="1" applyFill="1" applyBorder="1" applyAlignment="1">
      <alignment/>
    </xf>
    <xf numFmtId="185" fontId="69" fillId="33" borderId="11" xfId="0" applyNumberFormat="1" applyFont="1" applyFill="1" applyBorder="1" applyAlignment="1">
      <alignment/>
    </xf>
    <xf numFmtId="185" fontId="72" fillId="33" borderId="11" xfId="0" applyNumberFormat="1" applyFont="1" applyFill="1" applyBorder="1" applyAlignment="1">
      <alignment/>
    </xf>
    <xf numFmtId="185" fontId="73" fillId="33" borderId="11" xfId="0" applyNumberFormat="1" applyFont="1" applyFill="1" applyBorder="1" applyAlignment="1">
      <alignment/>
    </xf>
    <xf numFmtId="185" fontId="12" fillId="33" borderId="0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0" fontId="69" fillId="0" borderId="0" xfId="0" applyNumberFormat="1" applyFont="1" applyFill="1" applyAlignment="1">
      <alignment horizontal="center" vertical="center"/>
    </xf>
    <xf numFmtId="190" fontId="69" fillId="0" borderId="0" xfId="62" applyNumberFormat="1" applyFont="1" applyFill="1" applyAlignment="1">
      <alignment/>
    </xf>
    <xf numFmtId="190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7" fontId="69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6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2" fillId="33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33" borderId="0" xfId="53" applyFont="1" applyFill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0" fillId="33" borderId="24" xfId="5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65"/>
  <sheetViews>
    <sheetView view="pageBreakPreview" zoomScaleSheetLayoutView="100" workbookViewId="0" topLeftCell="A1">
      <selection activeCell="H59" sqref="H59"/>
    </sheetView>
  </sheetViews>
  <sheetFormatPr defaultColWidth="9.00390625" defaultRowHeight="12.75"/>
  <cols>
    <col min="1" max="1" width="69.125" style="3" customWidth="1"/>
    <col min="2" max="2" width="5.125" style="7" customWidth="1"/>
    <col min="3" max="3" width="5.25390625" style="7" customWidth="1"/>
    <col min="4" max="4" width="12.875" style="371" customWidth="1"/>
    <col min="5" max="5" width="2.25390625" style="3" customWidth="1"/>
    <col min="6" max="16384" width="9.125" style="3" customWidth="1"/>
  </cols>
  <sheetData>
    <row r="1" spans="1:4" ht="15.75">
      <c r="A1" s="374" t="s">
        <v>675</v>
      </c>
      <c r="B1" s="375"/>
      <c r="C1" s="375"/>
      <c r="D1" s="375"/>
    </row>
    <row r="2" spans="1:4" ht="15.75">
      <c r="A2" s="374" t="s">
        <v>397</v>
      </c>
      <c r="B2" s="375"/>
      <c r="C2" s="375"/>
      <c r="D2" s="375"/>
    </row>
    <row r="3" spans="1:4" ht="15.75">
      <c r="A3" s="376" t="s">
        <v>507</v>
      </c>
      <c r="B3" s="375"/>
      <c r="C3" s="375"/>
      <c r="D3" s="375"/>
    </row>
    <row r="4" spans="1:4" ht="15.75">
      <c r="A4" s="376" t="s">
        <v>508</v>
      </c>
      <c r="B4" s="375"/>
      <c r="C4" s="375"/>
      <c r="D4" s="375"/>
    </row>
    <row r="5" spans="1:4" ht="15.75">
      <c r="A5" s="374" t="s">
        <v>697</v>
      </c>
      <c r="B5" s="375"/>
      <c r="C5" s="375"/>
      <c r="D5" s="375"/>
    </row>
    <row r="7" spans="1:4" ht="15.75">
      <c r="A7" s="374" t="s">
        <v>592</v>
      </c>
      <c r="B7" s="375"/>
      <c r="C7" s="375"/>
      <c r="D7" s="375"/>
    </row>
    <row r="8" spans="1:4" ht="15.75">
      <c r="A8" s="374" t="s">
        <v>397</v>
      </c>
      <c r="B8" s="375"/>
      <c r="C8" s="375"/>
      <c r="D8" s="375"/>
    </row>
    <row r="9" spans="1:4" ht="15.75">
      <c r="A9" s="376" t="s">
        <v>507</v>
      </c>
      <c r="B9" s="375"/>
      <c r="C9" s="375"/>
      <c r="D9" s="375"/>
    </row>
    <row r="10" spans="1:4" ht="15.75">
      <c r="A10" s="376" t="s">
        <v>508</v>
      </c>
      <c r="B10" s="375"/>
      <c r="C10" s="375"/>
      <c r="D10" s="375"/>
    </row>
    <row r="11" spans="1:4" ht="15.75">
      <c r="A11" s="374" t="s">
        <v>589</v>
      </c>
      <c r="B11" s="375"/>
      <c r="C11" s="375"/>
      <c r="D11" s="375"/>
    </row>
    <row r="12" spans="1:4" ht="15.75">
      <c r="A12" s="2"/>
      <c r="B12" s="2"/>
      <c r="D12" s="368"/>
    </row>
    <row r="13" spans="1:4" ht="52.5" customHeight="1">
      <c r="A13" s="377" t="s">
        <v>525</v>
      </c>
      <c r="B13" s="377"/>
      <c r="C13" s="377"/>
      <c r="D13" s="377"/>
    </row>
    <row r="14" spans="1:4" ht="15.75">
      <c r="A14" s="6"/>
      <c r="B14" s="6"/>
      <c r="C14" s="6"/>
      <c r="D14" s="6"/>
    </row>
    <row r="15" spans="1:4" ht="47.25">
      <c r="A15" s="9" t="s">
        <v>169</v>
      </c>
      <c r="B15" s="9" t="s">
        <v>171</v>
      </c>
      <c r="C15" s="9" t="s">
        <v>172</v>
      </c>
      <c r="D15" s="9" t="s">
        <v>157</v>
      </c>
    </row>
    <row r="16" spans="1:4" ht="15.75">
      <c r="A16" s="338">
        <v>1</v>
      </c>
      <c r="B16" s="338">
        <v>2</v>
      </c>
      <c r="C16" s="338">
        <v>3</v>
      </c>
      <c r="D16" s="10" t="s">
        <v>158</v>
      </c>
    </row>
    <row r="17" spans="1:4" ht="15.75">
      <c r="A17" s="175" t="s">
        <v>154</v>
      </c>
      <c r="B17" s="339" t="s">
        <v>180</v>
      </c>
      <c r="C17" s="340"/>
      <c r="D17" s="333">
        <f>SUM(D18:D26)</f>
        <v>128753.12199999999</v>
      </c>
    </row>
    <row r="18" spans="1:4" ht="25.5">
      <c r="A18" s="130" t="s">
        <v>237</v>
      </c>
      <c r="B18" s="341" t="s">
        <v>180</v>
      </c>
      <c r="C18" s="341" t="s">
        <v>197</v>
      </c>
      <c r="D18" s="334">
        <f>2754.2+293.2</f>
        <v>3047.3999999999996</v>
      </c>
    </row>
    <row r="19" spans="1:4" ht="25.5">
      <c r="A19" s="130" t="s">
        <v>175</v>
      </c>
      <c r="B19" s="341" t="s">
        <v>180</v>
      </c>
      <c r="C19" s="341" t="s">
        <v>181</v>
      </c>
      <c r="D19" s="334">
        <f>2000.5+500+50</f>
        <v>2550.5</v>
      </c>
    </row>
    <row r="20" spans="1:4" ht="38.25">
      <c r="A20" s="130" t="s">
        <v>164</v>
      </c>
      <c r="B20" s="341" t="s">
        <v>180</v>
      </c>
      <c r="C20" s="341" t="s">
        <v>196</v>
      </c>
      <c r="D20" s="334">
        <f>54562.8+1939.2+564.2+676.8+184.9-860.1-259.9</f>
        <v>56807.9</v>
      </c>
    </row>
    <row r="21" spans="1:4" ht="15.75">
      <c r="A21" s="130" t="s">
        <v>292</v>
      </c>
      <c r="B21" s="341" t="s">
        <v>180</v>
      </c>
      <c r="C21" s="341" t="s">
        <v>198</v>
      </c>
      <c r="D21" s="334">
        <f>192.6-15</f>
        <v>177.6</v>
      </c>
    </row>
    <row r="22" spans="1:4" ht="25.5">
      <c r="A22" s="130" t="s">
        <v>177</v>
      </c>
      <c r="B22" s="341" t="s">
        <v>180</v>
      </c>
      <c r="C22" s="341" t="s">
        <v>153</v>
      </c>
      <c r="D22" s="334">
        <f>11451.2+490.3+311+176.3+63</f>
        <v>12491.8</v>
      </c>
    </row>
    <row r="23" spans="1:4" ht="15.75" hidden="1">
      <c r="A23" s="130" t="s">
        <v>287</v>
      </c>
      <c r="B23" s="341" t="s">
        <v>180</v>
      </c>
      <c r="C23" s="341" t="s">
        <v>152</v>
      </c>
      <c r="D23" s="334"/>
    </row>
    <row r="24" spans="1:4" ht="15.75">
      <c r="A24" s="130" t="s">
        <v>287</v>
      </c>
      <c r="B24" s="341" t="s">
        <v>180</v>
      </c>
      <c r="C24" s="341" t="s">
        <v>152</v>
      </c>
      <c r="D24" s="334">
        <v>3970</v>
      </c>
    </row>
    <row r="25" spans="1:4" ht="15.75">
      <c r="A25" s="130" t="s">
        <v>187</v>
      </c>
      <c r="B25" s="341" t="s">
        <v>180</v>
      </c>
      <c r="C25" s="341" t="s">
        <v>179</v>
      </c>
      <c r="D25" s="334">
        <v>256.722</v>
      </c>
    </row>
    <row r="26" spans="1:4" ht="15.75">
      <c r="A26" s="130" t="s">
        <v>165</v>
      </c>
      <c r="B26" s="341" t="s">
        <v>180</v>
      </c>
      <c r="C26" s="341" t="s">
        <v>146</v>
      </c>
      <c r="D26" s="334">
        <v>49451.2</v>
      </c>
    </row>
    <row r="27" spans="1:4" s="5" customFormat="1" ht="15.75">
      <c r="A27" s="176" t="s">
        <v>161</v>
      </c>
      <c r="B27" s="342" t="s">
        <v>197</v>
      </c>
      <c r="C27" s="342"/>
      <c r="D27" s="335">
        <f>D28</f>
        <v>921.2</v>
      </c>
    </row>
    <row r="28" spans="1:4" ht="15.75">
      <c r="A28" s="130" t="s">
        <v>162</v>
      </c>
      <c r="B28" s="341" t="s">
        <v>197</v>
      </c>
      <c r="C28" s="341" t="s">
        <v>181</v>
      </c>
      <c r="D28" s="334">
        <f>862.5+58.7</f>
        <v>921.2</v>
      </c>
    </row>
    <row r="29" spans="1:4" ht="15.75">
      <c r="A29" s="343" t="s">
        <v>151</v>
      </c>
      <c r="B29" s="342" t="s">
        <v>181</v>
      </c>
      <c r="C29" s="341"/>
      <c r="D29" s="335">
        <f>D30</f>
        <v>2773.7999999999997</v>
      </c>
    </row>
    <row r="30" spans="1:4" ht="15.75">
      <c r="A30" s="130" t="s">
        <v>517</v>
      </c>
      <c r="B30" s="341" t="s">
        <v>181</v>
      </c>
      <c r="C30" s="341" t="s">
        <v>194</v>
      </c>
      <c r="D30" s="334">
        <f>2969.1-150-45.3</f>
        <v>2773.7999999999997</v>
      </c>
    </row>
    <row r="31" spans="1:5" ht="15.75">
      <c r="A31" s="176" t="s">
        <v>195</v>
      </c>
      <c r="B31" s="342" t="s">
        <v>196</v>
      </c>
      <c r="C31" s="341"/>
      <c r="D31" s="335">
        <f>D32+D33+D34+D35+D36</f>
        <v>23622.842</v>
      </c>
      <c r="E31" s="12"/>
    </row>
    <row r="32" spans="1:4" ht="15.75">
      <c r="A32" s="130" t="s">
        <v>176</v>
      </c>
      <c r="B32" s="341" t="s">
        <v>196</v>
      </c>
      <c r="C32" s="341" t="s">
        <v>198</v>
      </c>
      <c r="D32" s="334">
        <f>2457-52</f>
        <v>2405</v>
      </c>
    </row>
    <row r="33" spans="1:4" ht="15.75" hidden="1">
      <c r="A33" s="130" t="s">
        <v>299</v>
      </c>
      <c r="B33" s="341" t="s">
        <v>196</v>
      </c>
      <c r="C33" s="341" t="s">
        <v>152</v>
      </c>
      <c r="D33" s="334"/>
    </row>
    <row r="34" spans="1:4" ht="15.75">
      <c r="A34" s="130" t="s">
        <v>199</v>
      </c>
      <c r="B34" s="341" t="s">
        <v>196</v>
      </c>
      <c r="C34" s="341" t="s">
        <v>183</v>
      </c>
      <c r="D34" s="334">
        <f>3884.3-1375</f>
        <v>2509.3</v>
      </c>
    </row>
    <row r="35" spans="1:4" ht="15.75">
      <c r="A35" s="130" t="s">
        <v>160</v>
      </c>
      <c r="B35" s="341" t="s">
        <v>196</v>
      </c>
      <c r="C35" s="341" t="s">
        <v>194</v>
      </c>
      <c r="D35" s="334">
        <f>13622.042+578.3</f>
        <v>14200.341999999999</v>
      </c>
    </row>
    <row r="36" spans="1:4" ht="15.75">
      <c r="A36" s="130" t="s">
        <v>159</v>
      </c>
      <c r="B36" s="341" t="s">
        <v>196</v>
      </c>
      <c r="C36" s="341" t="s">
        <v>188</v>
      </c>
      <c r="D36" s="334">
        <f>4388.2+120</f>
        <v>4508.2</v>
      </c>
    </row>
    <row r="37" spans="1:4" ht="15.75">
      <c r="A37" s="176" t="s">
        <v>167</v>
      </c>
      <c r="B37" s="342" t="s">
        <v>198</v>
      </c>
      <c r="C37" s="341"/>
      <c r="D37" s="335">
        <f>D38+D40+D39+D41</f>
        <v>37911.5</v>
      </c>
    </row>
    <row r="38" spans="1:4" ht="15.75">
      <c r="A38" s="130" t="s">
        <v>241</v>
      </c>
      <c r="B38" s="341" t="s">
        <v>198</v>
      </c>
      <c r="C38" s="341" t="s">
        <v>180</v>
      </c>
      <c r="D38" s="334">
        <v>3175.5</v>
      </c>
    </row>
    <row r="39" spans="1:4" ht="15.75">
      <c r="A39" s="130" t="s">
        <v>149</v>
      </c>
      <c r="B39" s="341" t="s">
        <v>198</v>
      </c>
      <c r="C39" s="341" t="s">
        <v>197</v>
      </c>
      <c r="D39" s="334">
        <f>6667.7-27.1-200</f>
        <v>6440.599999999999</v>
      </c>
    </row>
    <row r="40" spans="1:4" ht="15.75">
      <c r="A40" s="130" t="s">
        <v>9</v>
      </c>
      <c r="B40" s="341" t="s">
        <v>198</v>
      </c>
      <c r="C40" s="341" t="s">
        <v>181</v>
      </c>
      <c r="D40" s="334">
        <f>1254-100+167.7+50-24.7</f>
        <v>1347</v>
      </c>
    </row>
    <row r="41" spans="1:4" ht="15.75">
      <c r="A41" s="130" t="s">
        <v>411</v>
      </c>
      <c r="B41" s="341" t="s">
        <v>198</v>
      </c>
      <c r="C41" s="341" t="s">
        <v>198</v>
      </c>
      <c r="D41" s="334">
        <f>27428.4-480</f>
        <v>26948.4</v>
      </c>
    </row>
    <row r="42" spans="1:4" ht="15.75">
      <c r="A42" s="176" t="s">
        <v>192</v>
      </c>
      <c r="B42" s="342" t="s">
        <v>152</v>
      </c>
      <c r="C42" s="341"/>
      <c r="D42" s="335">
        <f>D43+D44+D45+D46+D47</f>
        <v>1059463.386</v>
      </c>
    </row>
    <row r="43" spans="1:4" ht="15.75">
      <c r="A43" s="130" t="s">
        <v>174</v>
      </c>
      <c r="B43" s="341" t="s">
        <v>152</v>
      </c>
      <c r="C43" s="341" t="s">
        <v>180</v>
      </c>
      <c r="D43" s="334">
        <f>238172.3+241</f>
        <v>238413.3</v>
      </c>
    </row>
    <row r="44" spans="1:4" ht="15.75">
      <c r="A44" s="130" t="s">
        <v>193</v>
      </c>
      <c r="B44" s="341" t="s">
        <v>152</v>
      </c>
      <c r="C44" s="341" t="s">
        <v>197</v>
      </c>
      <c r="D44" s="334">
        <f>757739+280-21605.3-89.4-67.4-1.8</f>
        <v>736255.0999999999</v>
      </c>
    </row>
    <row r="45" spans="1:4" ht="15.75">
      <c r="A45" s="130" t="s">
        <v>280</v>
      </c>
      <c r="B45" s="341" t="s">
        <v>152</v>
      </c>
      <c r="C45" s="341" t="s">
        <v>181</v>
      </c>
      <c r="D45" s="334">
        <f>66624.8+200</f>
        <v>66824.8</v>
      </c>
    </row>
    <row r="46" spans="1:4" ht="15.75">
      <c r="A46" s="130" t="s">
        <v>282</v>
      </c>
      <c r="B46" s="341" t="s">
        <v>152</v>
      </c>
      <c r="C46" s="341" t="s">
        <v>152</v>
      </c>
      <c r="D46" s="334">
        <f>5318.786-4.7</f>
        <v>5314.086</v>
      </c>
    </row>
    <row r="47" spans="1:4" ht="15.75">
      <c r="A47" s="130" t="s">
        <v>148</v>
      </c>
      <c r="B47" s="341" t="s">
        <v>152</v>
      </c>
      <c r="C47" s="341" t="s">
        <v>194</v>
      </c>
      <c r="D47" s="334">
        <v>12656.1</v>
      </c>
    </row>
    <row r="48" spans="1:4" ht="15.75">
      <c r="A48" s="176" t="s">
        <v>318</v>
      </c>
      <c r="B48" s="342" t="s">
        <v>183</v>
      </c>
      <c r="C48" s="341"/>
      <c r="D48" s="335">
        <f>D49</f>
        <v>118297.20000000001</v>
      </c>
    </row>
    <row r="49" spans="1:4" ht="15.75">
      <c r="A49" s="130" t="s">
        <v>184</v>
      </c>
      <c r="B49" s="341" t="s">
        <v>183</v>
      </c>
      <c r="C49" s="341" t="s">
        <v>180</v>
      </c>
      <c r="D49" s="334">
        <f>112944.8+116+57+75.2+224.8-100-30-30+94.1-6+53-60.8-8.7+4687.8+200+80</f>
        <v>118297.20000000001</v>
      </c>
    </row>
    <row r="50" spans="1:4" ht="15.75">
      <c r="A50" s="176" t="s">
        <v>178</v>
      </c>
      <c r="B50" s="342" t="s">
        <v>150</v>
      </c>
      <c r="C50" s="341"/>
      <c r="D50" s="335">
        <f>D51+D52+D53+D54</f>
        <v>129228.6</v>
      </c>
    </row>
    <row r="51" spans="1:4" ht="15.75">
      <c r="A51" s="130" t="s">
        <v>190</v>
      </c>
      <c r="B51" s="341" t="s">
        <v>150</v>
      </c>
      <c r="C51" s="341" t="s">
        <v>180</v>
      </c>
      <c r="D51" s="334">
        <v>1065.7</v>
      </c>
    </row>
    <row r="52" spans="1:4" ht="15.75">
      <c r="A52" s="130" t="s">
        <v>147</v>
      </c>
      <c r="B52" s="341" t="s">
        <v>150</v>
      </c>
      <c r="C52" s="341" t="s">
        <v>181</v>
      </c>
      <c r="D52" s="334">
        <f>91454.1+200-213+289.7</f>
        <v>91730.8</v>
      </c>
    </row>
    <row r="53" spans="1:4" ht="15.75">
      <c r="A53" s="130" t="s">
        <v>182</v>
      </c>
      <c r="B53" s="341" t="s">
        <v>150</v>
      </c>
      <c r="C53" s="341" t="s">
        <v>196</v>
      </c>
      <c r="D53" s="334">
        <f>36457.8-77.7</f>
        <v>36380.100000000006</v>
      </c>
    </row>
    <row r="54" spans="1:4" ht="15.75">
      <c r="A54" s="130" t="s">
        <v>423</v>
      </c>
      <c r="B54" s="341" t="s">
        <v>150</v>
      </c>
      <c r="C54" s="341" t="s">
        <v>153</v>
      </c>
      <c r="D54" s="334">
        <v>52</v>
      </c>
    </row>
    <row r="55" spans="1:4" ht="15.75">
      <c r="A55" s="176" t="s">
        <v>186</v>
      </c>
      <c r="B55" s="342" t="s">
        <v>179</v>
      </c>
      <c r="C55" s="342"/>
      <c r="D55" s="335">
        <f>SUM(D56:D56)</f>
        <v>26363.584</v>
      </c>
    </row>
    <row r="56" spans="1:4" s="5" customFormat="1" ht="15.75">
      <c r="A56" s="130" t="s">
        <v>213</v>
      </c>
      <c r="B56" s="341" t="s">
        <v>179</v>
      </c>
      <c r="C56" s="341" t="s">
        <v>197</v>
      </c>
      <c r="D56" s="334">
        <v>26363.584</v>
      </c>
    </row>
    <row r="57" spans="1:4" ht="15.75">
      <c r="A57" s="176" t="s">
        <v>134</v>
      </c>
      <c r="B57" s="342" t="s">
        <v>146</v>
      </c>
      <c r="C57" s="342"/>
      <c r="D57" s="335">
        <f>D58</f>
        <v>3708</v>
      </c>
    </row>
    <row r="58" spans="1:4" s="5" customFormat="1" ht="15.75">
      <c r="A58" s="130" t="s">
        <v>515</v>
      </c>
      <c r="B58" s="341" t="s">
        <v>146</v>
      </c>
      <c r="C58" s="341" t="s">
        <v>180</v>
      </c>
      <c r="D58" s="334">
        <v>3708</v>
      </c>
    </row>
    <row r="59" spans="1:4" s="5" customFormat="1" ht="25.5">
      <c r="A59" s="176" t="s">
        <v>319</v>
      </c>
      <c r="B59" s="342" t="s">
        <v>185</v>
      </c>
      <c r="C59" s="342"/>
      <c r="D59" s="335">
        <f>SUM(D60:D62)</f>
        <v>60708.979999999996</v>
      </c>
    </row>
    <row r="60" spans="1:4" s="5" customFormat="1" ht="28.5" customHeight="1">
      <c r="A60" s="130" t="s">
        <v>189</v>
      </c>
      <c r="B60" s="341" t="s">
        <v>185</v>
      </c>
      <c r="C60" s="341" t="s">
        <v>180</v>
      </c>
      <c r="D60" s="334">
        <v>40767.7</v>
      </c>
    </row>
    <row r="61" spans="1:4" ht="24" customHeight="1">
      <c r="A61" s="130" t="s">
        <v>683</v>
      </c>
      <c r="B61" s="341" t="s">
        <v>185</v>
      </c>
      <c r="C61" s="341" t="s">
        <v>197</v>
      </c>
      <c r="D61" s="334">
        <v>605.2</v>
      </c>
    </row>
    <row r="62" spans="1:4" ht="24" customHeight="1">
      <c r="A62" s="344" t="s">
        <v>191</v>
      </c>
      <c r="B62" s="345" t="s">
        <v>185</v>
      </c>
      <c r="C62" s="345" t="s">
        <v>181</v>
      </c>
      <c r="D62" s="336">
        <v>19336.08</v>
      </c>
    </row>
    <row r="63" spans="1:5" ht="15.75">
      <c r="A63" s="346" t="s">
        <v>166</v>
      </c>
      <c r="B63" s="347"/>
      <c r="C63" s="347"/>
      <c r="D63" s="337">
        <f>D17+D27+D29+D31+D37+D42+D48+D50+D55+D57+D59</f>
        <v>1591752.214</v>
      </c>
      <c r="E63" s="3" t="s">
        <v>593</v>
      </c>
    </row>
    <row r="64" ht="15.75" hidden="1">
      <c r="D64" s="369">
        <v>803164.2</v>
      </c>
    </row>
    <row r="65" ht="15.75" hidden="1">
      <c r="D65" s="370">
        <f>D64-D63</f>
        <v>-788588.014</v>
      </c>
    </row>
  </sheetData>
  <sheetProtection/>
  <mergeCells count="11">
    <mergeCell ref="A10:D10"/>
    <mergeCell ref="A1:D1"/>
    <mergeCell ref="A2:D2"/>
    <mergeCell ref="A3:D3"/>
    <mergeCell ref="A4:D4"/>
    <mergeCell ref="A5:D5"/>
    <mergeCell ref="A13:D13"/>
    <mergeCell ref="A9:D9"/>
    <mergeCell ref="A7:D7"/>
    <mergeCell ref="A8:D8"/>
    <mergeCell ref="A11:D11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62"/>
  <sheetViews>
    <sheetView view="pageBreakPreview" zoomScaleSheetLayoutView="100" zoomScalePageLayoutView="0" workbookViewId="0" topLeftCell="A16">
      <selection activeCell="D43" sqref="D43"/>
    </sheetView>
  </sheetViews>
  <sheetFormatPr defaultColWidth="9.00390625" defaultRowHeight="12.75"/>
  <cols>
    <col min="1" max="1" width="69.125" style="3" customWidth="1"/>
    <col min="2" max="2" width="5.125" style="7" customWidth="1"/>
    <col min="3" max="3" width="5.25390625" style="7" customWidth="1"/>
    <col min="4" max="4" width="21.75390625" style="3" customWidth="1"/>
    <col min="5" max="5" width="14.00390625" style="3" customWidth="1"/>
    <col min="6" max="6" width="14.125" style="3" customWidth="1"/>
    <col min="7" max="16384" width="9.125" style="3" customWidth="1"/>
  </cols>
  <sheetData>
    <row r="1" spans="1:6" ht="15.75">
      <c r="A1" s="378" t="s">
        <v>676</v>
      </c>
      <c r="B1" s="379"/>
      <c r="C1" s="379"/>
      <c r="D1" s="379"/>
      <c r="E1" s="380"/>
      <c r="F1" s="380"/>
    </row>
    <row r="2" spans="1:6" ht="15.75">
      <c r="A2" s="2"/>
      <c r="B2" s="2"/>
      <c r="D2" s="8"/>
      <c r="E2" s="8"/>
      <c r="F2" s="8"/>
    </row>
    <row r="3" spans="1:6" ht="37.5" customHeight="1">
      <c r="A3" s="377" t="s">
        <v>525</v>
      </c>
      <c r="B3" s="377"/>
      <c r="C3" s="377"/>
      <c r="D3" s="377"/>
      <c r="E3" s="381"/>
      <c r="F3" s="381"/>
    </row>
    <row r="4" spans="1:6" ht="15.75">
      <c r="A4" s="6"/>
      <c r="B4" s="6"/>
      <c r="C4" s="6"/>
      <c r="D4" s="6"/>
      <c r="E4" s="6"/>
      <c r="F4" s="6"/>
    </row>
    <row r="5" spans="1:6" ht="47.25">
      <c r="A5" s="9" t="s">
        <v>169</v>
      </c>
      <c r="B5" s="9" t="s">
        <v>171</v>
      </c>
      <c r="C5" s="9" t="s">
        <v>172</v>
      </c>
      <c r="D5" s="9" t="s">
        <v>598</v>
      </c>
      <c r="E5" s="9" t="s">
        <v>599</v>
      </c>
      <c r="F5" s="9" t="s">
        <v>600</v>
      </c>
    </row>
    <row r="6" spans="1:6" ht="15.75">
      <c r="A6" s="338">
        <v>1</v>
      </c>
      <c r="B6" s="338">
        <v>2</v>
      </c>
      <c r="C6" s="338">
        <v>3</v>
      </c>
      <c r="D6" s="10" t="s">
        <v>158</v>
      </c>
      <c r="E6" s="10" t="s">
        <v>596</v>
      </c>
      <c r="F6" s="10" t="s">
        <v>597</v>
      </c>
    </row>
    <row r="7" spans="1:6" ht="15.75">
      <c r="A7" s="175" t="s">
        <v>154</v>
      </c>
      <c r="B7" s="339" t="s">
        <v>180</v>
      </c>
      <c r="C7" s="340"/>
      <c r="D7" s="333">
        <f>SUM(D8:D16)</f>
        <v>128753.12199999999</v>
      </c>
      <c r="E7" s="333">
        <f>SUM(E8:E16)</f>
        <v>128696.12199999999</v>
      </c>
      <c r="F7" s="333">
        <f>SUM(F8:F16)</f>
        <v>57</v>
      </c>
    </row>
    <row r="8" spans="1:6" ht="25.5">
      <c r="A8" s="130" t="s">
        <v>237</v>
      </c>
      <c r="B8" s="341" t="s">
        <v>180</v>
      </c>
      <c r="C8" s="341" t="s">
        <v>197</v>
      </c>
      <c r="D8" s="334">
        <f>2754.2+293.2</f>
        <v>3047.3999999999996</v>
      </c>
      <c r="E8" s="334">
        <f>2754.2+293.2</f>
        <v>3047.3999999999996</v>
      </c>
      <c r="F8" s="334">
        <f>D8-E8</f>
        <v>0</v>
      </c>
    </row>
    <row r="9" spans="1:6" ht="25.5">
      <c r="A9" s="130" t="s">
        <v>175</v>
      </c>
      <c r="B9" s="341" t="s">
        <v>180</v>
      </c>
      <c r="C9" s="341" t="s">
        <v>181</v>
      </c>
      <c r="D9" s="334">
        <f>2000.5+500+50</f>
        <v>2550.5</v>
      </c>
      <c r="E9" s="334">
        <f>2000.5+500+50</f>
        <v>2550.5</v>
      </c>
      <c r="F9" s="334">
        <f aca="true" t="shared" si="0" ref="F9:F52">D9-E9</f>
        <v>0</v>
      </c>
    </row>
    <row r="10" spans="1:6" ht="38.25">
      <c r="A10" s="130" t="s">
        <v>164</v>
      </c>
      <c r="B10" s="341" t="s">
        <v>180</v>
      </c>
      <c r="C10" s="341" t="s">
        <v>196</v>
      </c>
      <c r="D10" s="334">
        <f>54562.8+1939.2+564.2+676.8+184.9-860.1-259.9</f>
        <v>56807.9</v>
      </c>
      <c r="E10" s="334">
        <f>54562.8+1939.2+564.2+676.8+184.9-860.1-259.9</f>
        <v>56807.9</v>
      </c>
      <c r="F10" s="334">
        <f t="shared" si="0"/>
        <v>0</v>
      </c>
    </row>
    <row r="11" spans="1:6" ht="15.75">
      <c r="A11" s="130" t="s">
        <v>292</v>
      </c>
      <c r="B11" s="341" t="s">
        <v>180</v>
      </c>
      <c r="C11" s="341" t="s">
        <v>198</v>
      </c>
      <c r="D11" s="334">
        <f>192.6-15</f>
        <v>177.6</v>
      </c>
      <c r="E11" s="334">
        <f>192.6-15</f>
        <v>177.6</v>
      </c>
      <c r="F11" s="334">
        <f t="shared" si="0"/>
        <v>0</v>
      </c>
    </row>
    <row r="12" spans="1:6" ht="25.5">
      <c r="A12" s="130" t="s">
        <v>177</v>
      </c>
      <c r="B12" s="341" t="s">
        <v>180</v>
      </c>
      <c r="C12" s="341" t="s">
        <v>153</v>
      </c>
      <c r="D12" s="334">
        <f>11451.2+490.3+311+176.3+63</f>
        <v>12491.8</v>
      </c>
      <c r="E12" s="334">
        <f>11451.2+490.3+311+176.3+63</f>
        <v>12491.8</v>
      </c>
      <c r="F12" s="334">
        <f t="shared" si="0"/>
        <v>0</v>
      </c>
    </row>
    <row r="13" spans="1:6" ht="15.75" hidden="1">
      <c r="A13" s="130" t="s">
        <v>287</v>
      </c>
      <c r="B13" s="341" t="s">
        <v>180</v>
      </c>
      <c r="C13" s="341" t="s">
        <v>152</v>
      </c>
      <c r="D13" s="334"/>
      <c r="E13" s="334"/>
      <c r="F13" s="334">
        <f t="shared" si="0"/>
        <v>0</v>
      </c>
    </row>
    <row r="14" spans="1:6" ht="15.75">
      <c r="A14" s="130" t="s">
        <v>287</v>
      </c>
      <c r="B14" s="341" t="s">
        <v>180</v>
      </c>
      <c r="C14" s="341" t="s">
        <v>152</v>
      </c>
      <c r="D14" s="334">
        <v>3970</v>
      </c>
      <c r="E14" s="334">
        <v>3970</v>
      </c>
      <c r="F14" s="334">
        <f t="shared" si="0"/>
        <v>0</v>
      </c>
    </row>
    <row r="15" spans="1:6" ht="15.75">
      <c r="A15" s="130" t="s">
        <v>187</v>
      </c>
      <c r="B15" s="341" t="s">
        <v>180</v>
      </c>
      <c r="C15" s="341" t="s">
        <v>179</v>
      </c>
      <c r="D15" s="334">
        <v>256.722</v>
      </c>
      <c r="E15" s="334">
        <v>256.722</v>
      </c>
      <c r="F15" s="334">
        <f t="shared" si="0"/>
        <v>0</v>
      </c>
    </row>
    <row r="16" spans="1:6" ht="15.75">
      <c r="A16" s="130" t="s">
        <v>165</v>
      </c>
      <c r="B16" s="341" t="s">
        <v>180</v>
      </c>
      <c r="C16" s="341" t="s">
        <v>146</v>
      </c>
      <c r="D16" s="334">
        <v>49451.2</v>
      </c>
      <c r="E16" s="334">
        <v>49394.2</v>
      </c>
      <c r="F16" s="334">
        <f t="shared" si="0"/>
        <v>57</v>
      </c>
    </row>
    <row r="17" spans="1:6" s="5" customFormat="1" ht="15.75">
      <c r="A17" s="176" t="s">
        <v>161</v>
      </c>
      <c r="B17" s="342" t="s">
        <v>197</v>
      </c>
      <c r="C17" s="342"/>
      <c r="D17" s="335">
        <f>D18</f>
        <v>921.2</v>
      </c>
      <c r="E17" s="335">
        <f>E18</f>
        <v>921.2</v>
      </c>
      <c r="F17" s="335">
        <f>F18</f>
        <v>0</v>
      </c>
    </row>
    <row r="18" spans="1:6" ht="15.75">
      <c r="A18" s="130" t="s">
        <v>162</v>
      </c>
      <c r="B18" s="341" t="s">
        <v>197</v>
      </c>
      <c r="C18" s="341" t="s">
        <v>181</v>
      </c>
      <c r="D18" s="334">
        <f>862.5+58.7</f>
        <v>921.2</v>
      </c>
      <c r="E18" s="334">
        <f>862.5+58.7</f>
        <v>921.2</v>
      </c>
      <c r="F18" s="334">
        <f t="shared" si="0"/>
        <v>0</v>
      </c>
    </row>
    <row r="19" spans="1:6" ht="15.75">
      <c r="A19" s="343" t="s">
        <v>151</v>
      </c>
      <c r="B19" s="342" t="s">
        <v>181</v>
      </c>
      <c r="C19" s="341"/>
      <c r="D19" s="335">
        <f>D20</f>
        <v>2773.7999999999997</v>
      </c>
      <c r="E19" s="335">
        <f>E20</f>
        <v>2773.7999999999997</v>
      </c>
      <c r="F19" s="335">
        <f>F20</f>
        <v>0</v>
      </c>
    </row>
    <row r="20" spans="1:6" ht="15.75">
      <c r="A20" s="130" t="s">
        <v>517</v>
      </c>
      <c r="B20" s="341" t="s">
        <v>181</v>
      </c>
      <c r="C20" s="341" t="s">
        <v>194</v>
      </c>
      <c r="D20" s="334">
        <f>2969.1-150-45.3</f>
        <v>2773.7999999999997</v>
      </c>
      <c r="E20" s="334">
        <f>2969.1-150-45.3</f>
        <v>2773.7999999999997</v>
      </c>
      <c r="F20" s="334">
        <f t="shared" si="0"/>
        <v>0</v>
      </c>
    </row>
    <row r="21" spans="1:6" ht="15.75">
      <c r="A21" s="176" t="s">
        <v>195</v>
      </c>
      <c r="B21" s="342" t="s">
        <v>196</v>
      </c>
      <c r="C21" s="341"/>
      <c r="D21" s="335">
        <f>D22+D23+D24+D25+D26</f>
        <v>23622.842</v>
      </c>
      <c r="E21" s="335">
        <f>E22+E23+E24+E25+E26</f>
        <v>23312.512</v>
      </c>
      <c r="F21" s="335">
        <f>F22+F23+F24+F25+F26</f>
        <v>310.3299999999999</v>
      </c>
    </row>
    <row r="22" spans="1:6" ht="15.75">
      <c r="A22" s="130" t="s">
        <v>176</v>
      </c>
      <c r="B22" s="341" t="s">
        <v>196</v>
      </c>
      <c r="C22" s="341" t="s">
        <v>198</v>
      </c>
      <c r="D22" s="334">
        <f>2457-52</f>
        <v>2405</v>
      </c>
      <c r="E22" s="334">
        <f>2457-52</f>
        <v>2405</v>
      </c>
      <c r="F22" s="334">
        <f t="shared" si="0"/>
        <v>0</v>
      </c>
    </row>
    <row r="23" spans="1:6" ht="15.75" hidden="1">
      <c r="A23" s="130" t="s">
        <v>299</v>
      </c>
      <c r="B23" s="341" t="s">
        <v>196</v>
      </c>
      <c r="C23" s="341" t="s">
        <v>152</v>
      </c>
      <c r="D23" s="334"/>
      <c r="E23" s="334"/>
      <c r="F23" s="334">
        <f t="shared" si="0"/>
        <v>0</v>
      </c>
    </row>
    <row r="24" spans="1:6" ht="15.75">
      <c r="A24" s="130" t="s">
        <v>199</v>
      </c>
      <c r="B24" s="341" t="s">
        <v>196</v>
      </c>
      <c r="C24" s="341" t="s">
        <v>183</v>
      </c>
      <c r="D24" s="334">
        <f>3884.3-1375</f>
        <v>2509.3</v>
      </c>
      <c r="E24" s="334">
        <f>3884.3-1375</f>
        <v>2509.3</v>
      </c>
      <c r="F24" s="334">
        <f t="shared" si="0"/>
        <v>0</v>
      </c>
    </row>
    <row r="25" spans="1:6" ht="15.75">
      <c r="A25" s="130" t="s">
        <v>160</v>
      </c>
      <c r="B25" s="341" t="s">
        <v>196</v>
      </c>
      <c r="C25" s="341" t="s">
        <v>194</v>
      </c>
      <c r="D25" s="334">
        <f>13622.042+578.3</f>
        <v>14200.341999999999</v>
      </c>
      <c r="E25" s="334">
        <f>13622.042+578.3</f>
        <v>14200.341999999999</v>
      </c>
      <c r="F25" s="334">
        <f t="shared" si="0"/>
        <v>0</v>
      </c>
    </row>
    <row r="26" spans="1:6" ht="15.75">
      <c r="A26" s="130" t="s">
        <v>159</v>
      </c>
      <c r="B26" s="341" t="s">
        <v>196</v>
      </c>
      <c r="C26" s="341" t="s">
        <v>188</v>
      </c>
      <c r="D26" s="334">
        <f>4388.2+120</f>
        <v>4508.2</v>
      </c>
      <c r="E26" s="334">
        <v>4197.87</v>
      </c>
      <c r="F26" s="334">
        <f t="shared" si="0"/>
        <v>310.3299999999999</v>
      </c>
    </row>
    <row r="27" spans="1:6" ht="15.75">
      <c r="A27" s="176" t="s">
        <v>167</v>
      </c>
      <c r="B27" s="342" t="s">
        <v>198</v>
      </c>
      <c r="C27" s="341"/>
      <c r="D27" s="335">
        <f>D28+D30+D29+D31</f>
        <v>37911.5</v>
      </c>
      <c r="E27" s="335">
        <f>E28+E30+E29+E31</f>
        <v>38448.520000000004</v>
      </c>
      <c r="F27" s="335">
        <f>F28+F30+F29+F31</f>
        <v>-537.02</v>
      </c>
    </row>
    <row r="28" spans="1:6" ht="15.75">
      <c r="A28" s="130" t="s">
        <v>241</v>
      </c>
      <c r="B28" s="341" t="s">
        <v>198</v>
      </c>
      <c r="C28" s="341" t="s">
        <v>180</v>
      </c>
      <c r="D28" s="334">
        <v>3175.5</v>
      </c>
      <c r="E28" s="334">
        <v>3232.52</v>
      </c>
      <c r="F28" s="334">
        <f t="shared" si="0"/>
        <v>-57.01999999999998</v>
      </c>
    </row>
    <row r="29" spans="1:6" ht="15.75">
      <c r="A29" s="130" t="s">
        <v>149</v>
      </c>
      <c r="B29" s="341" t="s">
        <v>198</v>
      </c>
      <c r="C29" s="341" t="s">
        <v>197</v>
      </c>
      <c r="D29" s="334">
        <f>6667.7-27.1-200</f>
        <v>6440.599999999999</v>
      </c>
      <c r="E29" s="334">
        <f>6667.7-27.1-200</f>
        <v>6440.599999999999</v>
      </c>
      <c r="F29" s="334">
        <f t="shared" si="0"/>
        <v>0</v>
      </c>
    </row>
    <row r="30" spans="1:6" ht="15.75">
      <c r="A30" s="130" t="s">
        <v>9</v>
      </c>
      <c r="B30" s="341" t="s">
        <v>198</v>
      </c>
      <c r="C30" s="341" t="s">
        <v>181</v>
      </c>
      <c r="D30" s="334">
        <f>1254-100+167.7+50-24.7</f>
        <v>1347</v>
      </c>
      <c r="E30" s="334">
        <f>1254-100+167.7+50-24.7</f>
        <v>1347</v>
      </c>
      <c r="F30" s="334">
        <f t="shared" si="0"/>
        <v>0</v>
      </c>
    </row>
    <row r="31" spans="1:6" ht="15.75">
      <c r="A31" s="130" t="s">
        <v>411</v>
      </c>
      <c r="B31" s="341" t="s">
        <v>198</v>
      </c>
      <c r="C31" s="341" t="s">
        <v>198</v>
      </c>
      <c r="D31" s="334">
        <f>27428.4-480</f>
        <v>26948.4</v>
      </c>
      <c r="E31" s="334">
        <v>27428.4</v>
      </c>
      <c r="F31" s="334">
        <f t="shared" si="0"/>
        <v>-480</v>
      </c>
    </row>
    <row r="32" spans="1:6" ht="15.75">
      <c r="A32" s="176" t="s">
        <v>192</v>
      </c>
      <c r="B32" s="342" t="s">
        <v>152</v>
      </c>
      <c r="C32" s="341"/>
      <c r="D32" s="335">
        <f>D33+D34+D35+D36+D37</f>
        <v>1059463.386</v>
      </c>
      <c r="E32" s="335">
        <f>E33+E34+E35+E36+E37</f>
        <v>1058753.312</v>
      </c>
      <c r="F32" s="335">
        <f>F33+F34+F35+F36+F37</f>
        <v>710.073999999976</v>
      </c>
    </row>
    <row r="33" spans="1:6" ht="15.75">
      <c r="A33" s="130" t="s">
        <v>174</v>
      </c>
      <c r="B33" s="341" t="s">
        <v>152</v>
      </c>
      <c r="C33" s="341" t="s">
        <v>180</v>
      </c>
      <c r="D33" s="334">
        <f>238172.3+241</f>
        <v>238413.3</v>
      </c>
      <c r="E33" s="334">
        <f>240075.59+150</f>
        <v>240225.59</v>
      </c>
      <c r="F33" s="334">
        <f t="shared" si="0"/>
        <v>-1812.2900000000081</v>
      </c>
    </row>
    <row r="34" spans="1:6" ht="15.75">
      <c r="A34" s="130" t="s">
        <v>193</v>
      </c>
      <c r="B34" s="341" t="s">
        <v>152</v>
      </c>
      <c r="C34" s="341" t="s">
        <v>197</v>
      </c>
      <c r="D34" s="334">
        <f>757739+280-21605.3-89.4-67.4-1.8</f>
        <v>736255.0999999999</v>
      </c>
      <c r="E34" s="334">
        <f>721460.048+11181.2+1286.1</f>
        <v>733927.3479999999</v>
      </c>
      <c r="F34" s="334">
        <f t="shared" si="0"/>
        <v>2327.7519999999786</v>
      </c>
    </row>
    <row r="35" spans="1:6" ht="15.75">
      <c r="A35" s="130" t="s">
        <v>280</v>
      </c>
      <c r="B35" s="341" t="s">
        <v>152</v>
      </c>
      <c r="C35" s="341" t="s">
        <v>181</v>
      </c>
      <c r="D35" s="334">
        <f>66624.8+200</f>
        <v>66824.8</v>
      </c>
      <c r="E35" s="334">
        <f>65495.588+418.5+11+700.4</f>
        <v>66625.488</v>
      </c>
      <c r="F35" s="334">
        <f t="shared" si="0"/>
        <v>199.31200000000536</v>
      </c>
    </row>
    <row r="36" spans="1:6" ht="15.75">
      <c r="A36" s="130" t="s">
        <v>282</v>
      </c>
      <c r="B36" s="341" t="s">
        <v>152</v>
      </c>
      <c r="C36" s="341" t="s">
        <v>152</v>
      </c>
      <c r="D36" s="334">
        <f>5318.786-4.7</f>
        <v>5314.086</v>
      </c>
      <c r="E36" s="334">
        <v>5318.786</v>
      </c>
      <c r="F36" s="334">
        <f t="shared" si="0"/>
        <v>-4.699999999999818</v>
      </c>
    </row>
    <row r="37" spans="1:6" ht="15.75">
      <c r="A37" s="130" t="s">
        <v>148</v>
      </c>
      <c r="B37" s="341" t="s">
        <v>152</v>
      </c>
      <c r="C37" s="341" t="s">
        <v>194</v>
      </c>
      <c r="D37" s="334">
        <v>12656.1</v>
      </c>
      <c r="E37" s="334">
        <v>12656.1</v>
      </c>
      <c r="F37" s="334">
        <f t="shared" si="0"/>
        <v>0</v>
      </c>
    </row>
    <row r="38" spans="1:6" ht="15.75">
      <c r="A38" s="176" t="s">
        <v>318</v>
      </c>
      <c r="B38" s="342" t="s">
        <v>183</v>
      </c>
      <c r="C38" s="341"/>
      <c r="D38" s="335">
        <f>D39</f>
        <v>118297.20000000001</v>
      </c>
      <c r="E38" s="335">
        <f>E39</f>
        <v>118017.20000000001</v>
      </c>
      <c r="F38" s="335">
        <f>F39</f>
        <v>280</v>
      </c>
    </row>
    <row r="39" spans="1:6" ht="15.75">
      <c r="A39" s="130" t="s">
        <v>184</v>
      </c>
      <c r="B39" s="341" t="s">
        <v>183</v>
      </c>
      <c r="C39" s="341" t="s">
        <v>180</v>
      </c>
      <c r="D39" s="334">
        <f>112944.8+116+57+75.2+224.8-100-30-30+94.1-6+53-60.8-8.7+4687.8+200+80</f>
        <v>118297.20000000001</v>
      </c>
      <c r="E39" s="334">
        <f>112944.8+116+57+75.2+224.8-100-30-30+94.1-6+53-60.8-8.7+4687.8</f>
        <v>118017.20000000001</v>
      </c>
      <c r="F39" s="334">
        <f t="shared" si="0"/>
        <v>280</v>
      </c>
    </row>
    <row r="40" spans="1:6" ht="15.75">
      <c r="A40" s="176" t="s">
        <v>178</v>
      </c>
      <c r="B40" s="342" t="s">
        <v>150</v>
      </c>
      <c r="C40" s="341"/>
      <c r="D40" s="335">
        <f>D41+D42+D43+D44</f>
        <v>129228.6</v>
      </c>
      <c r="E40" s="335">
        <f>E41+E42+E43+E44</f>
        <v>129458.717</v>
      </c>
      <c r="F40" s="335">
        <f>F41+F42+F43+F44</f>
        <v>-230.11699999999837</v>
      </c>
    </row>
    <row r="41" spans="1:6" ht="15.75">
      <c r="A41" s="130" t="s">
        <v>190</v>
      </c>
      <c r="B41" s="341" t="s">
        <v>150</v>
      </c>
      <c r="C41" s="341" t="s">
        <v>180</v>
      </c>
      <c r="D41" s="334">
        <v>1065.7</v>
      </c>
      <c r="E41" s="334">
        <v>1065.7</v>
      </c>
      <c r="F41" s="334">
        <f t="shared" si="0"/>
        <v>0</v>
      </c>
    </row>
    <row r="42" spans="1:6" ht="15.75">
      <c r="A42" s="130" t="s">
        <v>147</v>
      </c>
      <c r="B42" s="341" t="s">
        <v>150</v>
      </c>
      <c r="C42" s="341" t="s">
        <v>181</v>
      </c>
      <c r="D42" s="334">
        <f>91454.1+200-213+289.7</f>
        <v>91730.8</v>
      </c>
      <c r="E42" s="334">
        <f>91454.1+200-213+289.7</f>
        <v>91730.8</v>
      </c>
      <c r="F42" s="334">
        <f t="shared" si="0"/>
        <v>0</v>
      </c>
    </row>
    <row r="43" spans="1:6" ht="15.75">
      <c r="A43" s="130" t="s">
        <v>182</v>
      </c>
      <c r="B43" s="341" t="s">
        <v>150</v>
      </c>
      <c r="C43" s="341" t="s">
        <v>196</v>
      </c>
      <c r="D43" s="334">
        <f>36457.8-77.7</f>
        <v>36380.100000000006</v>
      </c>
      <c r="E43" s="334">
        <f>35838.517+388.4+383.3</f>
        <v>36610.217000000004</v>
      </c>
      <c r="F43" s="334">
        <f t="shared" si="0"/>
        <v>-230.11699999999837</v>
      </c>
    </row>
    <row r="44" spans="1:6" ht="15.75">
      <c r="A44" s="130" t="s">
        <v>423</v>
      </c>
      <c r="B44" s="341" t="s">
        <v>150</v>
      </c>
      <c r="C44" s="341" t="s">
        <v>153</v>
      </c>
      <c r="D44" s="334">
        <v>52</v>
      </c>
      <c r="E44" s="334">
        <v>52</v>
      </c>
      <c r="F44" s="334">
        <f t="shared" si="0"/>
        <v>0</v>
      </c>
    </row>
    <row r="45" spans="1:6" ht="15.75">
      <c r="A45" s="176" t="s">
        <v>186</v>
      </c>
      <c r="B45" s="342" t="s">
        <v>179</v>
      </c>
      <c r="C45" s="342"/>
      <c r="D45" s="335">
        <f>SUM(D46:D46)</f>
        <v>26363.584</v>
      </c>
      <c r="E45" s="335">
        <f>SUM(E46:E46)</f>
        <v>26363.584</v>
      </c>
      <c r="F45" s="335">
        <f>SUM(F46:F46)</f>
        <v>0</v>
      </c>
    </row>
    <row r="46" spans="1:6" s="5" customFormat="1" ht="15.75">
      <c r="A46" s="130" t="s">
        <v>213</v>
      </c>
      <c r="B46" s="341" t="s">
        <v>179</v>
      </c>
      <c r="C46" s="341" t="s">
        <v>197</v>
      </c>
      <c r="D46" s="334">
        <v>26363.584</v>
      </c>
      <c r="E46" s="334">
        <v>26363.584</v>
      </c>
      <c r="F46" s="334">
        <f t="shared" si="0"/>
        <v>0</v>
      </c>
    </row>
    <row r="47" spans="1:6" ht="15.75">
      <c r="A47" s="176" t="s">
        <v>134</v>
      </c>
      <c r="B47" s="342" t="s">
        <v>146</v>
      </c>
      <c r="C47" s="342"/>
      <c r="D47" s="335">
        <f>D48</f>
        <v>3708</v>
      </c>
      <c r="E47" s="335">
        <f>E48</f>
        <v>3708</v>
      </c>
      <c r="F47" s="335">
        <f>F48</f>
        <v>0</v>
      </c>
    </row>
    <row r="48" spans="1:6" s="5" customFormat="1" ht="15.75">
      <c r="A48" s="130" t="s">
        <v>515</v>
      </c>
      <c r="B48" s="341" t="s">
        <v>146</v>
      </c>
      <c r="C48" s="341" t="s">
        <v>180</v>
      </c>
      <c r="D48" s="334">
        <v>3708</v>
      </c>
      <c r="E48" s="334">
        <v>3708</v>
      </c>
      <c r="F48" s="334">
        <f t="shared" si="0"/>
        <v>0</v>
      </c>
    </row>
    <row r="49" spans="1:6" s="5" customFormat="1" ht="25.5">
      <c r="A49" s="176" t="s">
        <v>319</v>
      </c>
      <c r="B49" s="342" t="s">
        <v>185</v>
      </c>
      <c r="C49" s="342"/>
      <c r="D49" s="335">
        <f>SUM(D50:D52)</f>
        <v>60708.979999999996</v>
      </c>
      <c r="E49" s="335">
        <f>SUM(E50:E52)</f>
        <v>60708.979999999996</v>
      </c>
      <c r="F49" s="335">
        <f>SUM(F50:F52)</f>
        <v>0</v>
      </c>
    </row>
    <row r="50" spans="1:6" s="5" customFormat="1" ht="28.5" customHeight="1">
      <c r="A50" s="130" t="s">
        <v>189</v>
      </c>
      <c r="B50" s="341" t="s">
        <v>185</v>
      </c>
      <c r="C50" s="341" t="s">
        <v>180</v>
      </c>
      <c r="D50" s="334">
        <v>40767.7</v>
      </c>
      <c r="E50" s="334">
        <v>40767.7</v>
      </c>
      <c r="F50" s="334">
        <f t="shared" si="0"/>
        <v>0</v>
      </c>
    </row>
    <row r="51" spans="1:6" s="5" customFormat="1" ht="14.25" customHeight="1">
      <c r="A51" s="130" t="s">
        <v>683</v>
      </c>
      <c r="B51" s="341" t="s">
        <v>185</v>
      </c>
      <c r="C51" s="341" t="s">
        <v>197</v>
      </c>
      <c r="D51" s="334">
        <v>605.2</v>
      </c>
      <c r="E51" s="334">
        <v>605.2</v>
      </c>
      <c r="F51" s="334">
        <f>D51-E51</f>
        <v>0</v>
      </c>
    </row>
    <row r="52" spans="1:6" ht="24" customHeight="1">
      <c r="A52" s="344" t="s">
        <v>191</v>
      </c>
      <c r="B52" s="345" t="s">
        <v>185</v>
      </c>
      <c r="C52" s="345" t="s">
        <v>181</v>
      </c>
      <c r="D52" s="336">
        <v>19336.08</v>
      </c>
      <c r="E52" s="336">
        <v>19336.08</v>
      </c>
      <c r="F52" s="334">
        <f t="shared" si="0"/>
        <v>0</v>
      </c>
    </row>
    <row r="53" spans="1:6" ht="15.75">
      <c r="A53" s="346" t="s">
        <v>166</v>
      </c>
      <c r="B53" s="347"/>
      <c r="C53" s="347"/>
      <c r="D53" s="337">
        <f>D7+D17+D19+D21+D27+D32+D38+D40+D45+D47+D49</f>
        <v>1591752.214</v>
      </c>
      <c r="E53" s="337">
        <f>E7+E17+E19+E21+E27+E32+E38+E40+E45+E47+E49</f>
        <v>1591161.947</v>
      </c>
      <c r="F53" s="337">
        <f>F7+F17+F19+F21+F27+F32+F38+F40+F45+F47+F49</f>
        <v>590.2669999999775</v>
      </c>
    </row>
    <row r="54" spans="4:6" ht="15.75" hidden="1">
      <c r="D54" s="11">
        <v>803164.2</v>
      </c>
      <c r="E54" s="11">
        <v>803164.2</v>
      </c>
      <c r="F54" s="11">
        <v>803164.2</v>
      </c>
    </row>
    <row r="55" spans="4:6" ht="15.75" hidden="1">
      <c r="D55" s="12">
        <f>D54-D53</f>
        <v>-788588.014</v>
      </c>
      <c r="E55" s="12">
        <f>E54-E53</f>
        <v>-787997.747</v>
      </c>
      <c r="F55" s="12">
        <f>F54-F53</f>
        <v>802573.933</v>
      </c>
    </row>
    <row r="57" ht="15.75">
      <c r="D57" s="82">
        <f>1612957474.62+200000+80000+120000-479982.86+279982.86-21605300+200000</f>
        <v>1591752174.62</v>
      </c>
    </row>
    <row r="58" spans="4:6" ht="15.75">
      <c r="D58" s="360"/>
      <c r="F58" s="12"/>
    </row>
    <row r="59" ht="15.75">
      <c r="D59" s="361"/>
    </row>
    <row r="62" ht="15.75">
      <c r="D62" s="12"/>
    </row>
  </sheetData>
  <sheetProtection/>
  <mergeCells count="2">
    <mergeCell ref="A1:F1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955"/>
  <sheetViews>
    <sheetView view="pageBreakPreview" zoomScaleNormal="90" zoomScaleSheetLayoutView="100" workbookViewId="0" topLeftCell="A1">
      <selection activeCell="G505" sqref="G505"/>
    </sheetView>
  </sheetViews>
  <sheetFormatPr defaultColWidth="9.00390625" defaultRowHeight="12.75"/>
  <cols>
    <col min="1" max="1" width="104.25390625" style="31" customWidth="1"/>
    <col min="2" max="3" width="4.25390625" style="49" customWidth="1"/>
    <col min="4" max="4" width="4.625" style="49" customWidth="1"/>
    <col min="5" max="5" width="14.75390625" style="49" customWidth="1"/>
    <col min="6" max="6" width="5.125" style="49" customWidth="1"/>
    <col min="7" max="7" width="14.375" style="372" customWidth="1"/>
    <col min="8" max="8" width="13.125" style="15" hidden="1" customWidth="1"/>
    <col min="9" max="9" width="13.25390625" style="15" hidden="1" customWidth="1"/>
    <col min="10" max="16" width="0" style="15" hidden="1" customWidth="1"/>
    <col min="17" max="17" width="2.125" style="3" customWidth="1"/>
    <col min="18" max="16384" width="9.125" style="15" customWidth="1"/>
  </cols>
  <sheetData>
    <row r="1" spans="1:17" s="13" customFormat="1" ht="15.75">
      <c r="A1" s="1"/>
      <c r="B1" s="46"/>
      <c r="C1" s="46"/>
      <c r="D1" s="383" t="s">
        <v>689</v>
      </c>
      <c r="E1" s="384"/>
      <c r="F1" s="384"/>
      <c r="G1" s="384"/>
      <c r="Q1" s="69"/>
    </row>
    <row r="2" spans="1:17" s="13" customFormat="1" ht="15.75">
      <c r="A2" s="1"/>
      <c r="B2" s="46"/>
      <c r="C2" s="46"/>
      <c r="D2" s="383" t="s">
        <v>163</v>
      </c>
      <c r="E2" s="384"/>
      <c r="F2" s="384"/>
      <c r="G2" s="384"/>
      <c r="Q2" s="69"/>
    </row>
    <row r="3" spans="1:17" s="13" customFormat="1" ht="15.75">
      <c r="A3" s="1"/>
      <c r="B3" s="46"/>
      <c r="C3" s="383" t="s">
        <v>509</v>
      </c>
      <c r="D3" s="385"/>
      <c r="E3" s="385"/>
      <c r="F3" s="385"/>
      <c r="G3" s="385"/>
      <c r="Q3" s="69"/>
    </row>
    <row r="4" spans="1:17" s="13" customFormat="1" ht="15.75">
      <c r="A4" s="1"/>
      <c r="B4" s="46"/>
      <c r="C4" s="383" t="s">
        <v>510</v>
      </c>
      <c r="D4" s="385"/>
      <c r="E4" s="385"/>
      <c r="F4" s="385"/>
      <c r="G4" s="385"/>
      <c r="Q4" s="69"/>
    </row>
    <row r="5" spans="1:17" s="13" customFormat="1" ht="15.75">
      <c r="A5" s="1"/>
      <c r="B5" s="46"/>
      <c r="C5" s="383" t="s">
        <v>698</v>
      </c>
      <c r="D5" s="384"/>
      <c r="E5" s="384"/>
      <c r="F5" s="384"/>
      <c r="G5" s="384"/>
      <c r="Q5" s="69"/>
    </row>
    <row r="6" spans="1:6" ht="15.75">
      <c r="A6" s="1"/>
      <c r="B6" s="81"/>
      <c r="C6" s="81"/>
      <c r="D6" s="81"/>
      <c r="E6" s="81"/>
      <c r="F6" s="81"/>
    </row>
    <row r="7" spans="1:17" s="13" customFormat="1" ht="15.75">
      <c r="A7" s="1"/>
      <c r="B7" s="46"/>
      <c r="C7" s="46"/>
      <c r="D7" s="383" t="s">
        <v>594</v>
      </c>
      <c r="E7" s="384"/>
      <c r="F7" s="384"/>
      <c r="G7" s="384"/>
      <c r="Q7" s="69"/>
    </row>
    <row r="8" spans="1:17" s="13" customFormat="1" ht="15.75">
      <c r="A8" s="1"/>
      <c r="B8" s="46"/>
      <c r="C8" s="46"/>
      <c r="D8" s="383" t="s">
        <v>163</v>
      </c>
      <c r="E8" s="384"/>
      <c r="F8" s="384"/>
      <c r="G8" s="384"/>
      <c r="Q8" s="69"/>
    </row>
    <row r="9" spans="1:17" s="13" customFormat="1" ht="15.75">
      <c r="A9" s="1"/>
      <c r="B9" s="46"/>
      <c r="C9" s="383" t="s">
        <v>509</v>
      </c>
      <c r="D9" s="385"/>
      <c r="E9" s="385"/>
      <c r="F9" s="385"/>
      <c r="G9" s="385"/>
      <c r="Q9" s="69"/>
    </row>
    <row r="10" spans="1:17" s="13" customFormat="1" ht="15.75">
      <c r="A10" s="1"/>
      <c r="B10" s="46"/>
      <c r="C10" s="383" t="s">
        <v>510</v>
      </c>
      <c r="D10" s="385"/>
      <c r="E10" s="385"/>
      <c r="F10" s="385"/>
      <c r="G10" s="385"/>
      <c r="Q10" s="69"/>
    </row>
    <row r="11" spans="1:17" s="13" customFormat="1" ht="15.75">
      <c r="A11" s="1"/>
      <c r="B11" s="46"/>
      <c r="C11" s="383" t="s">
        <v>590</v>
      </c>
      <c r="D11" s="384"/>
      <c r="E11" s="384"/>
      <c r="F11" s="384"/>
      <c r="G11" s="384"/>
      <c r="Q11" s="69"/>
    </row>
    <row r="12" spans="1:17" s="13" customFormat="1" ht="15.75">
      <c r="A12" s="1"/>
      <c r="B12" s="373"/>
      <c r="C12" s="373"/>
      <c r="D12" s="373"/>
      <c r="E12" s="47"/>
      <c r="F12" s="373"/>
      <c r="G12" s="46"/>
      <c r="Q12" s="69"/>
    </row>
    <row r="13" spans="1:7" ht="22.5" customHeight="1">
      <c r="A13" s="386" t="s">
        <v>523</v>
      </c>
      <c r="B13" s="387"/>
      <c r="C13" s="387"/>
      <c r="D13" s="387"/>
      <c r="E13" s="387"/>
      <c r="F13" s="387"/>
      <c r="G13" s="386"/>
    </row>
    <row r="14" spans="1:7" ht="15.75">
      <c r="A14" s="30"/>
      <c r="B14" s="48"/>
      <c r="C14" s="48"/>
      <c r="D14" s="48"/>
      <c r="E14" s="48"/>
      <c r="F14" s="48"/>
      <c r="G14" s="48"/>
    </row>
    <row r="15" spans="1:17" s="13" customFormat="1" ht="66" customHeight="1">
      <c r="A15" s="9" t="s">
        <v>169</v>
      </c>
      <c r="B15" s="66" t="s">
        <v>170</v>
      </c>
      <c r="C15" s="66" t="s">
        <v>171</v>
      </c>
      <c r="D15" s="66" t="s">
        <v>172</v>
      </c>
      <c r="E15" s="66" t="s">
        <v>168</v>
      </c>
      <c r="F15" s="66" t="s">
        <v>173</v>
      </c>
      <c r="G15" s="66" t="s">
        <v>156</v>
      </c>
      <c r="Q15" s="69"/>
    </row>
    <row r="16" spans="1:17" s="16" customFormat="1" ht="12.75" customHeight="1">
      <c r="A16" s="10">
        <v>1</v>
      </c>
      <c r="B16" s="67">
        <v>2</v>
      </c>
      <c r="C16" s="67">
        <v>3</v>
      </c>
      <c r="D16" s="67">
        <v>4</v>
      </c>
      <c r="E16" s="67">
        <v>5</v>
      </c>
      <c r="F16" s="67">
        <v>6</v>
      </c>
      <c r="G16" s="67" t="s">
        <v>155</v>
      </c>
      <c r="I16" s="388"/>
      <c r="J16" s="388"/>
      <c r="Q16" s="4"/>
    </row>
    <row r="17" spans="1:18" s="32" customFormat="1" ht="15.75">
      <c r="A17" s="10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7" t="s">
        <v>155</v>
      </c>
      <c r="H17" s="32">
        <v>152132.1</v>
      </c>
      <c r="J17" s="33"/>
      <c r="Q17" s="70"/>
      <c r="R17" s="33"/>
    </row>
    <row r="18" spans="1:18" s="32" customFormat="1" ht="15.75">
      <c r="A18" s="104" t="s">
        <v>413</v>
      </c>
      <c r="B18" s="105" t="s">
        <v>205</v>
      </c>
      <c r="C18" s="350"/>
      <c r="D18" s="350"/>
      <c r="E18" s="351"/>
      <c r="F18" s="350"/>
      <c r="G18" s="77">
        <f>G19+G135+G149+G183</f>
        <v>79103.379</v>
      </c>
      <c r="J18" s="33"/>
      <c r="Q18" s="44"/>
      <c r="R18" s="33"/>
    </row>
    <row r="19" spans="1:17" s="32" customFormat="1" ht="15.75">
      <c r="A19" s="106" t="s">
        <v>154</v>
      </c>
      <c r="B19" s="107"/>
      <c r="C19" s="173" t="s">
        <v>180</v>
      </c>
      <c r="D19" s="174"/>
      <c r="E19" s="200" t="s">
        <v>201</v>
      </c>
      <c r="F19" s="174"/>
      <c r="G19" s="78">
        <f>G20+G28+G78+G64+G69</f>
        <v>70225.479</v>
      </c>
      <c r="J19" s="33"/>
      <c r="Q19" s="44"/>
    </row>
    <row r="20" spans="1:18" s="32" customFormat="1" ht="31.5" customHeight="1">
      <c r="A20" s="106" t="s">
        <v>239</v>
      </c>
      <c r="B20" s="107"/>
      <c r="C20" s="173" t="s">
        <v>180</v>
      </c>
      <c r="D20" s="173" t="s">
        <v>197</v>
      </c>
      <c r="E20" s="200"/>
      <c r="F20" s="137"/>
      <c r="G20" s="78">
        <f>G21</f>
        <v>3047.3729999999996</v>
      </c>
      <c r="J20" s="33"/>
      <c r="K20" s="33"/>
      <c r="Q20" s="44"/>
      <c r="R20" s="33"/>
    </row>
    <row r="21" spans="1:17" s="32" customFormat="1" ht="26.25">
      <c r="A21" s="106" t="s">
        <v>584</v>
      </c>
      <c r="B21" s="107"/>
      <c r="C21" s="173" t="s">
        <v>180</v>
      </c>
      <c r="D21" s="173" t="s">
        <v>197</v>
      </c>
      <c r="E21" s="201" t="s">
        <v>47</v>
      </c>
      <c r="F21" s="137"/>
      <c r="G21" s="78">
        <f>G22+G25</f>
        <v>3047.3729999999996</v>
      </c>
      <c r="J21" s="33"/>
      <c r="K21" s="33"/>
      <c r="Q21" s="44"/>
    </row>
    <row r="22" spans="1:17" s="32" customFormat="1" ht="15.75">
      <c r="A22" s="108" t="s">
        <v>138</v>
      </c>
      <c r="B22" s="107"/>
      <c r="C22" s="174" t="s">
        <v>180</v>
      </c>
      <c r="D22" s="174" t="s">
        <v>197</v>
      </c>
      <c r="E22" s="200" t="s">
        <v>48</v>
      </c>
      <c r="F22" s="137"/>
      <c r="G22" s="74">
        <f>G23</f>
        <v>2754.2</v>
      </c>
      <c r="J22" s="33"/>
      <c r="Q22" s="44"/>
    </row>
    <row r="23" spans="1:17" s="32" customFormat="1" ht="26.25">
      <c r="A23" s="109" t="s">
        <v>139</v>
      </c>
      <c r="B23" s="107"/>
      <c r="C23" s="174" t="s">
        <v>180</v>
      </c>
      <c r="D23" s="174" t="s">
        <v>197</v>
      </c>
      <c r="E23" s="200" t="s">
        <v>48</v>
      </c>
      <c r="F23" s="202" t="s">
        <v>228</v>
      </c>
      <c r="G23" s="74">
        <f>G24</f>
        <v>2754.2</v>
      </c>
      <c r="J23" s="33"/>
      <c r="Q23" s="44"/>
    </row>
    <row r="24" spans="1:18" s="32" customFormat="1" ht="15.75">
      <c r="A24" s="110" t="s">
        <v>223</v>
      </c>
      <c r="B24" s="107"/>
      <c r="C24" s="174" t="s">
        <v>180</v>
      </c>
      <c r="D24" s="174" t="s">
        <v>197</v>
      </c>
      <c r="E24" s="200" t="s">
        <v>48</v>
      </c>
      <c r="F24" s="202" t="s">
        <v>224</v>
      </c>
      <c r="G24" s="74">
        <f>2115.4+638.8</f>
        <v>2754.2</v>
      </c>
      <c r="Q24" s="70"/>
      <c r="R24" s="33"/>
    </row>
    <row r="25" spans="1:17" s="34" customFormat="1" ht="25.5">
      <c r="A25" s="112" t="s">
        <v>669</v>
      </c>
      <c r="B25" s="113"/>
      <c r="C25" s="174" t="s">
        <v>180</v>
      </c>
      <c r="D25" s="174" t="s">
        <v>197</v>
      </c>
      <c r="E25" s="200" t="s">
        <v>668</v>
      </c>
      <c r="F25" s="202"/>
      <c r="G25" s="74">
        <f>G26</f>
        <v>293.173</v>
      </c>
      <c r="J25" s="35"/>
      <c r="Q25" s="71"/>
    </row>
    <row r="26" spans="1:17" s="32" customFormat="1" ht="25.5">
      <c r="A26" s="110" t="s">
        <v>139</v>
      </c>
      <c r="B26" s="113"/>
      <c r="C26" s="174" t="s">
        <v>180</v>
      </c>
      <c r="D26" s="174" t="s">
        <v>197</v>
      </c>
      <c r="E26" s="200" t="s">
        <v>668</v>
      </c>
      <c r="F26" s="202" t="s">
        <v>228</v>
      </c>
      <c r="G26" s="74">
        <f>G27</f>
        <v>293.173</v>
      </c>
      <c r="J26" s="33"/>
      <c r="Q26" s="44"/>
    </row>
    <row r="27" spans="1:17" s="32" customFormat="1" ht="15.75">
      <c r="A27" s="110" t="s">
        <v>223</v>
      </c>
      <c r="B27" s="113"/>
      <c r="C27" s="174" t="s">
        <v>180</v>
      </c>
      <c r="D27" s="174" t="s">
        <v>197</v>
      </c>
      <c r="E27" s="200" t="s">
        <v>668</v>
      </c>
      <c r="F27" s="202" t="s">
        <v>224</v>
      </c>
      <c r="G27" s="74">
        <f>230.3+62.873</f>
        <v>293.173</v>
      </c>
      <c r="Q27" s="44"/>
    </row>
    <row r="28" spans="1:17" s="32" customFormat="1" ht="26.25">
      <c r="A28" s="106" t="s">
        <v>238</v>
      </c>
      <c r="B28" s="111"/>
      <c r="C28" s="173" t="s">
        <v>180</v>
      </c>
      <c r="D28" s="173" t="s">
        <v>196</v>
      </c>
      <c r="E28" s="201" t="s">
        <v>201</v>
      </c>
      <c r="F28" s="203"/>
      <c r="G28" s="78">
        <f>G29+G40+G36</f>
        <v>33142.656</v>
      </c>
      <c r="I28" s="382"/>
      <c r="J28" s="382"/>
      <c r="Q28" s="44"/>
    </row>
    <row r="29" spans="1:17" s="32" customFormat="1" ht="15.75">
      <c r="A29" s="106" t="s">
        <v>428</v>
      </c>
      <c r="B29" s="107"/>
      <c r="C29" s="173" t="s">
        <v>180</v>
      </c>
      <c r="D29" s="173" t="s">
        <v>196</v>
      </c>
      <c r="E29" s="201" t="s">
        <v>49</v>
      </c>
      <c r="F29" s="203"/>
      <c r="G29" s="78">
        <f>G30+G33</f>
        <v>1034.2</v>
      </c>
      <c r="I29" s="33"/>
      <c r="Q29" s="44"/>
    </row>
    <row r="30" spans="1:17" s="32" customFormat="1" ht="15.75">
      <c r="A30" s="108" t="s">
        <v>138</v>
      </c>
      <c r="B30" s="111"/>
      <c r="C30" s="174" t="s">
        <v>180</v>
      </c>
      <c r="D30" s="174" t="s">
        <v>196</v>
      </c>
      <c r="E30" s="200" t="s">
        <v>50</v>
      </c>
      <c r="F30" s="202"/>
      <c r="G30" s="74">
        <f>G31</f>
        <v>998.7</v>
      </c>
      <c r="I30" s="382"/>
      <c r="J30" s="382"/>
      <c r="Q30" s="44"/>
    </row>
    <row r="31" spans="1:17" s="32" customFormat="1" ht="15.75">
      <c r="A31" s="110" t="s">
        <v>264</v>
      </c>
      <c r="B31" s="111"/>
      <c r="C31" s="174" t="s">
        <v>180</v>
      </c>
      <c r="D31" s="174" t="s">
        <v>196</v>
      </c>
      <c r="E31" s="200" t="s">
        <v>50</v>
      </c>
      <c r="F31" s="202" t="s">
        <v>216</v>
      </c>
      <c r="G31" s="74">
        <f>SUM(G32)</f>
        <v>998.7</v>
      </c>
      <c r="I31" s="33"/>
      <c r="Q31" s="44"/>
    </row>
    <row r="32" spans="1:17" s="32" customFormat="1" ht="27" customHeight="1">
      <c r="A32" s="110" t="s">
        <v>217</v>
      </c>
      <c r="B32" s="111"/>
      <c r="C32" s="174" t="s">
        <v>180</v>
      </c>
      <c r="D32" s="174" t="s">
        <v>196</v>
      </c>
      <c r="E32" s="200" t="s">
        <v>50</v>
      </c>
      <c r="F32" s="202" t="s">
        <v>215</v>
      </c>
      <c r="G32" s="74">
        <v>998.7</v>
      </c>
      <c r="I32" s="382"/>
      <c r="J32" s="382"/>
      <c r="Q32" s="44"/>
    </row>
    <row r="33" spans="1:17" s="32" customFormat="1" ht="15.75">
      <c r="A33" s="112" t="s">
        <v>140</v>
      </c>
      <c r="B33" s="111"/>
      <c r="C33" s="174" t="s">
        <v>180</v>
      </c>
      <c r="D33" s="174" t="s">
        <v>196</v>
      </c>
      <c r="E33" s="204" t="s">
        <v>51</v>
      </c>
      <c r="F33" s="202"/>
      <c r="G33" s="74">
        <f>G34</f>
        <v>35.5</v>
      </c>
      <c r="I33" s="33"/>
      <c r="Q33" s="44"/>
    </row>
    <row r="34" spans="1:17" s="32" customFormat="1" ht="15.75">
      <c r="A34" s="110" t="s">
        <v>264</v>
      </c>
      <c r="B34" s="111"/>
      <c r="C34" s="174" t="s">
        <v>180</v>
      </c>
      <c r="D34" s="174" t="s">
        <v>196</v>
      </c>
      <c r="E34" s="204" t="s">
        <v>51</v>
      </c>
      <c r="F34" s="202" t="s">
        <v>216</v>
      </c>
      <c r="G34" s="74">
        <f>G35</f>
        <v>35.5</v>
      </c>
      <c r="I34" s="382"/>
      <c r="J34" s="382"/>
      <c r="Q34" s="44"/>
    </row>
    <row r="35" spans="1:17" s="32" customFormat="1" ht="15.75">
      <c r="A35" s="110" t="s">
        <v>217</v>
      </c>
      <c r="B35" s="113"/>
      <c r="C35" s="174" t="s">
        <v>180</v>
      </c>
      <c r="D35" s="174" t="s">
        <v>196</v>
      </c>
      <c r="E35" s="204" t="s">
        <v>51</v>
      </c>
      <c r="F35" s="202" t="s">
        <v>215</v>
      </c>
      <c r="G35" s="74">
        <v>35.5</v>
      </c>
      <c r="I35" s="33"/>
      <c r="Q35" s="44"/>
    </row>
    <row r="36" spans="1:17" s="32" customFormat="1" ht="25.5">
      <c r="A36" s="114" t="s">
        <v>345</v>
      </c>
      <c r="B36" s="115"/>
      <c r="C36" s="173" t="s">
        <v>180</v>
      </c>
      <c r="D36" s="173" t="s">
        <v>196</v>
      </c>
      <c r="E36" s="201" t="s">
        <v>15</v>
      </c>
      <c r="F36" s="203"/>
      <c r="G36" s="78">
        <f>G37</f>
        <v>35</v>
      </c>
      <c r="H36" s="32">
        <v>30436.4</v>
      </c>
      <c r="I36" s="33"/>
      <c r="Q36" s="44"/>
    </row>
    <row r="37" spans="1:17" s="32" customFormat="1" ht="15.75">
      <c r="A37" s="112" t="s">
        <v>145</v>
      </c>
      <c r="B37" s="111"/>
      <c r="C37" s="174" t="s">
        <v>180</v>
      </c>
      <c r="D37" s="174" t="s">
        <v>196</v>
      </c>
      <c r="E37" s="204" t="s">
        <v>339</v>
      </c>
      <c r="F37" s="202"/>
      <c r="G37" s="74">
        <f>G38</f>
        <v>35</v>
      </c>
      <c r="Q37" s="44"/>
    </row>
    <row r="38" spans="1:17" s="32" customFormat="1" ht="15.75">
      <c r="A38" s="110" t="s">
        <v>264</v>
      </c>
      <c r="B38" s="111"/>
      <c r="C38" s="174" t="s">
        <v>180</v>
      </c>
      <c r="D38" s="174" t="s">
        <v>196</v>
      </c>
      <c r="E38" s="204" t="s">
        <v>339</v>
      </c>
      <c r="F38" s="202" t="s">
        <v>216</v>
      </c>
      <c r="G38" s="74">
        <f>G39</f>
        <v>35</v>
      </c>
      <c r="Q38" s="44"/>
    </row>
    <row r="39" spans="1:17" s="32" customFormat="1" ht="15.75">
      <c r="A39" s="110" t="s">
        <v>217</v>
      </c>
      <c r="B39" s="113"/>
      <c r="C39" s="174" t="s">
        <v>180</v>
      </c>
      <c r="D39" s="174" t="s">
        <v>196</v>
      </c>
      <c r="E39" s="204" t="s">
        <v>339</v>
      </c>
      <c r="F39" s="202" t="s">
        <v>215</v>
      </c>
      <c r="G39" s="74">
        <v>35</v>
      </c>
      <c r="Q39" s="44"/>
    </row>
    <row r="40" spans="1:17" s="32" customFormat="1" ht="26.25">
      <c r="A40" s="106" t="s">
        <v>584</v>
      </c>
      <c r="B40" s="107"/>
      <c r="C40" s="173" t="s">
        <v>180</v>
      </c>
      <c r="D40" s="173" t="s">
        <v>196</v>
      </c>
      <c r="E40" s="201" t="s">
        <v>47</v>
      </c>
      <c r="F40" s="203"/>
      <c r="G40" s="78">
        <f>G41+G48+G56+G59+G53</f>
        <v>32073.456000000002</v>
      </c>
      <c r="Q40" s="44"/>
    </row>
    <row r="41" spans="1:17" s="32" customFormat="1" ht="15.75">
      <c r="A41" s="108" t="s">
        <v>138</v>
      </c>
      <c r="B41" s="107"/>
      <c r="C41" s="174" t="s">
        <v>180</v>
      </c>
      <c r="D41" s="174" t="s">
        <v>196</v>
      </c>
      <c r="E41" s="200" t="s">
        <v>48</v>
      </c>
      <c r="F41" s="202"/>
      <c r="G41" s="74">
        <f>G42+G44+G46</f>
        <v>30114.700000000004</v>
      </c>
      <c r="Q41" s="44"/>
    </row>
    <row r="42" spans="1:17" s="32" customFormat="1" ht="25.5">
      <c r="A42" s="110" t="s">
        <v>139</v>
      </c>
      <c r="B42" s="107"/>
      <c r="C42" s="174" t="s">
        <v>180</v>
      </c>
      <c r="D42" s="174" t="s">
        <v>196</v>
      </c>
      <c r="E42" s="200" t="s">
        <v>48</v>
      </c>
      <c r="F42" s="202" t="s">
        <v>228</v>
      </c>
      <c r="G42" s="74">
        <f>G43</f>
        <v>29037.100000000002</v>
      </c>
      <c r="Q42" s="44"/>
    </row>
    <row r="43" spans="1:17" s="32" customFormat="1" ht="15.75">
      <c r="A43" s="110" t="s">
        <v>223</v>
      </c>
      <c r="B43" s="113"/>
      <c r="C43" s="174" t="s">
        <v>180</v>
      </c>
      <c r="D43" s="174" t="s">
        <v>196</v>
      </c>
      <c r="E43" s="200" t="s">
        <v>48</v>
      </c>
      <c r="F43" s="202" t="s">
        <v>224</v>
      </c>
      <c r="G43" s="74">
        <f>21432.5+1153.4+6451.2</f>
        <v>29037.100000000002</v>
      </c>
      <c r="Q43" s="44"/>
    </row>
    <row r="44" spans="1:17" s="32" customFormat="1" ht="15.75">
      <c r="A44" s="110" t="s">
        <v>264</v>
      </c>
      <c r="B44" s="113"/>
      <c r="C44" s="174" t="s">
        <v>180</v>
      </c>
      <c r="D44" s="174" t="s">
        <v>196</v>
      </c>
      <c r="E44" s="200" t="s">
        <v>48</v>
      </c>
      <c r="F44" s="202" t="s">
        <v>216</v>
      </c>
      <c r="G44" s="74">
        <f>G45</f>
        <v>1064.4</v>
      </c>
      <c r="Q44" s="44"/>
    </row>
    <row r="45" spans="1:17" s="32" customFormat="1" ht="15.75">
      <c r="A45" s="110" t="s">
        <v>217</v>
      </c>
      <c r="B45" s="113"/>
      <c r="C45" s="174" t="s">
        <v>180</v>
      </c>
      <c r="D45" s="174" t="s">
        <v>196</v>
      </c>
      <c r="E45" s="200" t="s">
        <v>48</v>
      </c>
      <c r="F45" s="202" t="s">
        <v>215</v>
      </c>
      <c r="G45" s="74">
        <v>1064.4</v>
      </c>
      <c r="Q45" s="44"/>
    </row>
    <row r="46" spans="1:17" s="32" customFormat="1" ht="26.25" customHeight="1">
      <c r="A46" s="110" t="s">
        <v>264</v>
      </c>
      <c r="B46" s="113"/>
      <c r="C46" s="174" t="s">
        <v>180</v>
      </c>
      <c r="D46" s="174" t="s">
        <v>196</v>
      </c>
      <c r="E46" s="200" t="s">
        <v>48</v>
      </c>
      <c r="F46" s="202" t="s">
        <v>216</v>
      </c>
      <c r="G46" s="74">
        <f>G47</f>
        <v>13.2</v>
      </c>
      <c r="Q46" s="44"/>
    </row>
    <row r="47" spans="1:17" s="32" customFormat="1" ht="15.75">
      <c r="A47" s="110" t="s">
        <v>217</v>
      </c>
      <c r="B47" s="113"/>
      <c r="C47" s="174" t="s">
        <v>180</v>
      </c>
      <c r="D47" s="174" t="s">
        <v>196</v>
      </c>
      <c r="E47" s="200" t="s">
        <v>48</v>
      </c>
      <c r="F47" s="202" t="s">
        <v>215</v>
      </c>
      <c r="G47" s="74">
        <v>13.2</v>
      </c>
      <c r="Q47" s="44"/>
    </row>
    <row r="48" spans="1:17" s="32" customFormat="1" ht="15.75">
      <c r="A48" s="116" t="s">
        <v>142</v>
      </c>
      <c r="B48" s="107"/>
      <c r="C48" s="174" t="s">
        <v>180</v>
      </c>
      <c r="D48" s="174" t="s">
        <v>196</v>
      </c>
      <c r="E48" s="200" t="s">
        <v>312</v>
      </c>
      <c r="F48" s="202"/>
      <c r="G48" s="74">
        <f>G49+G51</f>
        <v>1477.405</v>
      </c>
      <c r="Q48" s="44"/>
    </row>
    <row r="49" spans="1:17" s="32" customFormat="1" ht="25.5">
      <c r="A49" s="110" t="s">
        <v>139</v>
      </c>
      <c r="B49" s="107"/>
      <c r="C49" s="174" t="s">
        <v>180</v>
      </c>
      <c r="D49" s="174" t="s">
        <v>196</v>
      </c>
      <c r="E49" s="200" t="s">
        <v>312</v>
      </c>
      <c r="F49" s="202" t="s">
        <v>228</v>
      </c>
      <c r="G49" s="74">
        <f>G50</f>
        <v>1337.406</v>
      </c>
      <c r="Q49" s="44"/>
    </row>
    <row r="50" spans="1:17" s="32" customFormat="1" ht="15.75">
      <c r="A50" s="110" t="s">
        <v>223</v>
      </c>
      <c r="B50" s="113"/>
      <c r="C50" s="174" t="s">
        <v>180</v>
      </c>
      <c r="D50" s="174" t="s">
        <v>196</v>
      </c>
      <c r="E50" s="200" t="s">
        <v>312</v>
      </c>
      <c r="F50" s="202" t="s">
        <v>224</v>
      </c>
      <c r="G50" s="74">
        <f>996.472+40+300.934</f>
        <v>1337.406</v>
      </c>
      <c r="Q50" s="44"/>
    </row>
    <row r="51" spans="1:17" s="32" customFormat="1" ht="15.75">
      <c r="A51" s="110" t="s">
        <v>264</v>
      </c>
      <c r="B51" s="113"/>
      <c r="C51" s="174" t="s">
        <v>180</v>
      </c>
      <c r="D51" s="174" t="s">
        <v>196</v>
      </c>
      <c r="E51" s="200" t="s">
        <v>312</v>
      </c>
      <c r="F51" s="202" t="s">
        <v>216</v>
      </c>
      <c r="G51" s="74">
        <f>G52</f>
        <v>139.999</v>
      </c>
      <c r="Q51" s="44"/>
    </row>
    <row r="52" spans="1:17" s="32" customFormat="1" ht="15.75">
      <c r="A52" s="110" t="s">
        <v>217</v>
      </c>
      <c r="B52" s="113"/>
      <c r="C52" s="174" t="s">
        <v>180</v>
      </c>
      <c r="D52" s="174" t="s">
        <v>196</v>
      </c>
      <c r="E52" s="200" t="s">
        <v>312</v>
      </c>
      <c r="F52" s="202" t="s">
        <v>215</v>
      </c>
      <c r="G52" s="74">
        <f>98.245+41.754</f>
        <v>139.999</v>
      </c>
      <c r="Q52" s="44"/>
    </row>
    <row r="53" spans="1:17" s="32" customFormat="1" ht="15.75">
      <c r="A53" s="112" t="s">
        <v>116</v>
      </c>
      <c r="B53" s="111"/>
      <c r="C53" s="174" t="s">
        <v>180</v>
      </c>
      <c r="D53" s="174" t="s">
        <v>196</v>
      </c>
      <c r="E53" s="204" t="s">
        <v>448</v>
      </c>
      <c r="F53" s="202"/>
      <c r="G53" s="74">
        <f>G54</f>
        <v>105</v>
      </c>
      <c r="Q53" s="44"/>
    </row>
    <row r="54" spans="1:17" s="32" customFormat="1" ht="15.75">
      <c r="A54" s="110" t="s">
        <v>264</v>
      </c>
      <c r="B54" s="111"/>
      <c r="C54" s="174" t="s">
        <v>180</v>
      </c>
      <c r="D54" s="174" t="s">
        <v>196</v>
      </c>
      <c r="E54" s="204" t="s">
        <v>448</v>
      </c>
      <c r="F54" s="202" t="s">
        <v>216</v>
      </c>
      <c r="G54" s="74">
        <f>G55</f>
        <v>105</v>
      </c>
      <c r="Q54" s="44"/>
    </row>
    <row r="55" spans="1:17" s="32" customFormat="1" ht="15.75">
      <c r="A55" s="110" t="s">
        <v>217</v>
      </c>
      <c r="B55" s="113"/>
      <c r="C55" s="174" t="s">
        <v>180</v>
      </c>
      <c r="D55" s="174" t="s">
        <v>196</v>
      </c>
      <c r="E55" s="204" t="s">
        <v>448</v>
      </c>
      <c r="F55" s="202" t="s">
        <v>215</v>
      </c>
      <c r="G55" s="74">
        <v>105</v>
      </c>
      <c r="Q55" s="44"/>
    </row>
    <row r="56" spans="1:17" s="32" customFormat="1" ht="25.5">
      <c r="A56" s="110" t="s">
        <v>143</v>
      </c>
      <c r="B56" s="111"/>
      <c r="C56" s="174" t="s">
        <v>180</v>
      </c>
      <c r="D56" s="174" t="s">
        <v>196</v>
      </c>
      <c r="E56" s="204" t="s">
        <v>52</v>
      </c>
      <c r="F56" s="202"/>
      <c r="G56" s="74">
        <f>G57</f>
        <v>7</v>
      </c>
      <c r="Q56" s="44"/>
    </row>
    <row r="57" spans="1:17" s="32" customFormat="1" ht="15.75">
      <c r="A57" s="110" t="s">
        <v>264</v>
      </c>
      <c r="B57" s="111"/>
      <c r="C57" s="174" t="s">
        <v>180</v>
      </c>
      <c r="D57" s="174" t="s">
        <v>196</v>
      </c>
      <c r="E57" s="204" t="s">
        <v>52</v>
      </c>
      <c r="F57" s="202" t="s">
        <v>216</v>
      </c>
      <c r="G57" s="74">
        <f>G58</f>
        <v>7</v>
      </c>
      <c r="Q57" s="70"/>
    </row>
    <row r="58" spans="1:17" s="32" customFormat="1" ht="15.75">
      <c r="A58" s="110" t="s">
        <v>217</v>
      </c>
      <c r="B58" s="113"/>
      <c r="C58" s="174" t="s">
        <v>180</v>
      </c>
      <c r="D58" s="174" t="s">
        <v>196</v>
      </c>
      <c r="E58" s="204" t="s">
        <v>52</v>
      </c>
      <c r="F58" s="202" t="s">
        <v>215</v>
      </c>
      <c r="G58" s="74">
        <v>7</v>
      </c>
      <c r="Q58" s="44"/>
    </row>
    <row r="59" spans="1:17" s="32" customFormat="1" ht="15.75">
      <c r="A59" s="116" t="s">
        <v>141</v>
      </c>
      <c r="B59" s="107"/>
      <c r="C59" s="174" t="s">
        <v>180</v>
      </c>
      <c r="D59" s="174" t="s">
        <v>196</v>
      </c>
      <c r="E59" s="200" t="s">
        <v>53</v>
      </c>
      <c r="F59" s="202"/>
      <c r="G59" s="74">
        <f>G60+G62</f>
        <v>369.35099999999994</v>
      </c>
      <c r="Q59" s="44"/>
    </row>
    <row r="60" spans="1:17" s="32" customFormat="1" ht="25.5">
      <c r="A60" s="110" t="s">
        <v>139</v>
      </c>
      <c r="B60" s="107"/>
      <c r="C60" s="174" t="s">
        <v>180</v>
      </c>
      <c r="D60" s="174" t="s">
        <v>196</v>
      </c>
      <c r="E60" s="200" t="s">
        <v>53</v>
      </c>
      <c r="F60" s="202" t="s">
        <v>228</v>
      </c>
      <c r="G60" s="74">
        <f>G61</f>
        <v>264.35099999999994</v>
      </c>
      <c r="Q60" s="44"/>
    </row>
    <row r="61" spans="1:17" s="32" customFormat="1" ht="15.75">
      <c r="A61" s="110" t="s">
        <v>223</v>
      </c>
      <c r="B61" s="113"/>
      <c r="C61" s="174" t="s">
        <v>180</v>
      </c>
      <c r="D61" s="174" t="s">
        <v>196</v>
      </c>
      <c r="E61" s="200" t="s">
        <v>53</v>
      </c>
      <c r="F61" s="202" t="s">
        <v>224</v>
      </c>
      <c r="G61" s="74">
        <f>249.117+10+5.234</f>
        <v>264.35099999999994</v>
      </c>
      <c r="Q61" s="44"/>
    </row>
    <row r="62" spans="1:17" s="32" customFormat="1" ht="15.75">
      <c r="A62" s="110" t="s">
        <v>264</v>
      </c>
      <c r="B62" s="113"/>
      <c r="C62" s="174" t="s">
        <v>180</v>
      </c>
      <c r="D62" s="174" t="s">
        <v>196</v>
      </c>
      <c r="E62" s="200" t="s">
        <v>53</v>
      </c>
      <c r="F62" s="202" t="s">
        <v>216</v>
      </c>
      <c r="G62" s="74">
        <f>G63</f>
        <v>105</v>
      </c>
      <c r="Q62" s="44"/>
    </row>
    <row r="63" spans="1:17" s="32" customFormat="1" ht="15.75">
      <c r="A63" s="110" t="s">
        <v>217</v>
      </c>
      <c r="B63" s="113"/>
      <c r="C63" s="174" t="s">
        <v>180</v>
      </c>
      <c r="D63" s="174" t="s">
        <v>196</v>
      </c>
      <c r="E63" s="200" t="s">
        <v>53</v>
      </c>
      <c r="F63" s="202" t="s">
        <v>215</v>
      </c>
      <c r="G63" s="74">
        <v>105</v>
      </c>
      <c r="Q63" s="70"/>
    </row>
    <row r="64" spans="1:17" s="32" customFormat="1" ht="15.75">
      <c r="A64" s="114" t="s">
        <v>292</v>
      </c>
      <c r="B64" s="113"/>
      <c r="C64" s="173" t="s">
        <v>180</v>
      </c>
      <c r="D64" s="173" t="s">
        <v>198</v>
      </c>
      <c r="E64" s="201"/>
      <c r="F64" s="203"/>
      <c r="G64" s="78">
        <f>G65</f>
        <v>177.6</v>
      </c>
      <c r="Q64" s="44"/>
    </row>
    <row r="65" spans="1:17" s="32" customFormat="1" ht="26.25">
      <c r="A65" s="106" t="s">
        <v>584</v>
      </c>
      <c r="B65" s="113"/>
      <c r="C65" s="173" t="s">
        <v>180</v>
      </c>
      <c r="D65" s="173" t="s">
        <v>198</v>
      </c>
      <c r="E65" s="201" t="s">
        <v>47</v>
      </c>
      <c r="F65" s="203"/>
      <c r="G65" s="78">
        <f>G66</f>
        <v>177.6</v>
      </c>
      <c r="Q65" s="44"/>
    </row>
    <row r="66" spans="1:17" s="32" customFormat="1" ht="25.5">
      <c r="A66" s="117" t="s">
        <v>293</v>
      </c>
      <c r="B66" s="113"/>
      <c r="C66" s="174" t="s">
        <v>180</v>
      </c>
      <c r="D66" s="174" t="s">
        <v>198</v>
      </c>
      <c r="E66" s="200" t="s">
        <v>294</v>
      </c>
      <c r="F66" s="202"/>
      <c r="G66" s="74">
        <f>G67</f>
        <v>177.6</v>
      </c>
      <c r="Q66" s="44"/>
    </row>
    <row r="67" spans="1:18" s="32" customFormat="1" ht="15.75">
      <c r="A67" s="110" t="s">
        <v>264</v>
      </c>
      <c r="B67" s="113"/>
      <c r="C67" s="174" t="s">
        <v>180</v>
      </c>
      <c r="D67" s="174" t="s">
        <v>198</v>
      </c>
      <c r="E67" s="200" t="s">
        <v>294</v>
      </c>
      <c r="F67" s="202" t="s">
        <v>216</v>
      </c>
      <c r="G67" s="74">
        <f>G68</f>
        <v>177.6</v>
      </c>
      <c r="Q67" s="44"/>
      <c r="R67" s="33"/>
    </row>
    <row r="68" spans="1:17" s="32" customFormat="1" ht="15.75">
      <c r="A68" s="110" t="s">
        <v>217</v>
      </c>
      <c r="B68" s="113"/>
      <c r="C68" s="174" t="s">
        <v>180</v>
      </c>
      <c r="D68" s="174" t="s">
        <v>198</v>
      </c>
      <c r="E68" s="200" t="s">
        <v>294</v>
      </c>
      <c r="F68" s="202" t="s">
        <v>215</v>
      </c>
      <c r="G68" s="74">
        <f>192.6-15</f>
        <v>177.6</v>
      </c>
      <c r="Q68" s="44"/>
    </row>
    <row r="69" spans="1:17" s="32" customFormat="1" ht="15.75">
      <c r="A69" s="118" t="s">
        <v>287</v>
      </c>
      <c r="B69" s="119"/>
      <c r="C69" s="205" t="s">
        <v>180</v>
      </c>
      <c r="D69" s="205" t="s">
        <v>152</v>
      </c>
      <c r="E69" s="206"/>
      <c r="F69" s="207"/>
      <c r="G69" s="78">
        <f>G70</f>
        <v>3970</v>
      </c>
      <c r="Q69" s="44"/>
    </row>
    <row r="70" spans="1:17" s="32" customFormat="1" ht="15.75">
      <c r="A70" s="120" t="s">
        <v>623</v>
      </c>
      <c r="B70" s="119"/>
      <c r="C70" s="205" t="s">
        <v>180</v>
      </c>
      <c r="D70" s="205" t="s">
        <v>152</v>
      </c>
      <c r="E70" s="206" t="s">
        <v>624</v>
      </c>
      <c r="F70" s="207"/>
      <c r="G70" s="78">
        <f>G71</f>
        <v>3970</v>
      </c>
      <c r="Q70" s="44"/>
    </row>
    <row r="71" spans="1:17" s="32" customFormat="1" ht="15.75">
      <c r="A71" s="118" t="s">
        <v>625</v>
      </c>
      <c r="B71" s="121"/>
      <c r="C71" s="205" t="s">
        <v>180</v>
      </c>
      <c r="D71" s="205" t="s">
        <v>152</v>
      </c>
      <c r="E71" s="206" t="s">
        <v>626</v>
      </c>
      <c r="F71" s="208"/>
      <c r="G71" s="78">
        <f>G73+G75</f>
        <v>3970</v>
      </c>
      <c r="Q71" s="44"/>
    </row>
    <row r="72" spans="1:17" s="32" customFormat="1" ht="15.75">
      <c r="A72" s="122" t="s">
        <v>627</v>
      </c>
      <c r="B72" s="123"/>
      <c r="C72" s="209" t="s">
        <v>180</v>
      </c>
      <c r="D72" s="209" t="s">
        <v>152</v>
      </c>
      <c r="E72" s="210" t="s">
        <v>628</v>
      </c>
      <c r="F72" s="208"/>
      <c r="G72" s="74">
        <f>G73</f>
        <v>470</v>
      </c>
      <c r="Q72" s="44"/>
    </row>
    <row r="73" spans="1:17" s="32" customFormat="1" ht="15.75">
      <c r="A73" s="122" t="s">
        <v>107</v>
      </c>
      <c r="B73" s="123"/>
      <c r="C73" s="209" t="s">
        <v>180</v>
      </c>
      <c r="D73" s="209" t="s">
        <v>152</v>
      </c>
      <c r="E73" s="210" t="s">
        <v>628</v>
      </c>
      <c r="F73" s="208" t="s">
        <v>100</v>
      </c>
      <c r="G73" s="74">
        <f>G74</f>
        <v>470</v>
      </c>
      <c r="Q73" s="44"/>
    </row>
    <row r="74" spans="1:17" s="32" customFormat="1" ht="15.75">
      <c r="A74" s="124" t="s">
        <v>629</v>
      </c>
      <c r="B74" s="123"/>
      <c r="C74" s="209" t="s">
        <v>180</v>
      </c>
      <c r="D74" s="209" t="s">
        <v>152</v>
      </c>
      <c r="E74" s="210" t="s">
        <v>628</v>
      </c>
      <c r="F74" s="208" t="s">
        <v>630</v>
      </c>
      <c r="G74" s="74">
        <v>470</v>
      </c>
      <c r="Q74" s="44"/>
    </row>
    <row r="75" spans="1:17" s="32" customFormat="1" ht="25.5">
      <c r="A75" s="122" t="s">
        <v>652</v>
      </c>
      <c r="B75" s="123"/>
      <c r="C75" s="209" t="s">
        <v>180</v>
      </c>
      <c r="D75" s="209" t="s">
        <v>152</v>
      </c>
      <c r="E75" s="210" t="s">
        <v>651</v>
      </c>
      <c r="F75" s="208"/>
      <c r="G75" s="74">
        <f>G76</f>
        <v>3500</v>
      </c>
      <c r="Q75" s="44"/>
    </row>
    <row r="76" spans="1:17" s="32" customFormat="1" ht="15.75">
      <c r="A76" s="122" t="s">
        <v>107</v>
      </c>
      <c r="B76" s="123"/>
      <c r="C76" s="209" t="s">
        <v>180</v>
      </c>
      <c r="D76" s="209" t="s">
        <v>152</v>
      </c>
      <c r="E76" s="210" t="s">
        <v>651</v>
      </c>
      <c r="F76" s="208" t="s">
        <v>100</v>
      </c>
      <c r="G76" s="74">
        <f>G77</f>
        <v>3500</v>
      </c>
      <c r="Q76" s="44"/>
    </row>
    <row r="77" spans="1:17" s="32" customFormat="1" ht="24.75" customHeight="1">
      <c r="A77" s="124" t="s">
        <v>629</v>
      </c>
      <c r="B77" s="123"/>
      <c r="C77" s="209" t="s">
        <v>180</v>
      </c>
      <c r="D77" s="209" t="s">
        <v>152</v>
      </c>
      <c r="E77" s="210" t="s">
        <v>651</v>
      </c>
      <c r="F77" s="208" t="s">
        <v>630</v>
      </c>
      <c r="G77" s="74">
        <v>3500</v>
      </c>
      <c r="Q77" s="44"/>
    </row>
    <row r="78" spans="1:17" s="32" customFormat="1" ht="15.75">
      <c r="A78" s="106" t="s">
        <v>165</v>
      </c>
      <c r="B78" s="113"/>
      <c r="C78" s="173" t="s">
        <v>180</v>
      </c>
      <c r="D78" s="173" t="s">
        <v>146</v>
      </c>
      <c r="E78" s="201" t="s">
        <v>201</v>
      </c>
      <c r="F78" s="203" t="s">
        <v>201</v>
      </c>
      <c r="G78" s="78">
        <f>G79+G110+G106+G127</f>
        <v>29887.85</v>
      </c>
      <c r="Q78" s="44"/>
    </row>
    <row r="79" spans="1:17" s="32" customFormat="1" ht="15.75">
      <c r="A79" s="114" t="s">
        <v>429</v>
      </c>
      <c r="B79" s="115"/>
      <c r="C79" s="173" t="s">
        <v>180</v>
      </c>
      <c r="D79" s="173" t="s">
        <v>146</v>
      </c>
      <c r="E79" s="201" t="s">
        <v>58</v>
      </c>
      <c r="F79" s="203"/>
      <c r="G79" s="78">
        <f>G80+G89+G100</f>
        <v>3285.1</v>
      </c>
      <c r="Q79" s="44"/>
    </row>
    <row r="80" spans="1:17" s="32" customFormat="1" ht="15.75">
      <c r="A80" s="106" t="s">
        <v>512</v>
      </c>
      <c r="B80" s="115"/>
      <c r="C80" s="173" t="s">
        <v>180</v>
      </c>
      <c r="D80" s="173" t="s">
        <v>146</v>
      </c>
      <c r="E80" s="201" t="s">
        <v>257</v>
      </c>
      <c r="F80" s="203"/>
      <c r="G80" s="78">
        <f>G81+G86</f>
        <v>1989.3</v>
      </c>
      <c r="Q80" s="44"/>
    </row>
    <row r="81" spans="1:17" s="32" customFormat="1" ht="32.25" customHeight="1">
      <c r="A81" s="112" t="s">
        <v>117</v>
      </c>
      <c r="B81" s="113"/>
      <c r="C81" s="174" t="s">
        <v>180</v>
      </c>
      <c r="D81" s="174" t="s">
        <v>146</v>
      </c>
      <c r="E81" s="200" t="s">
        <v>334</v>
      </c>
      <c r="F81" s="202"/>
      <c r="G81" s="74">
        <f>G82+G84</f>
        <v>54.7</v>
      </c>
      <c r="Q81" s="44"/>
    </row>
    <row r="82" spans="1:17" s="32" customFormat="1" ht="25.5">
      <c r="A82" s="110" t="s">
        <v>139</v>
      </c>
      <c r="B82" s="113"/>
      <c r="C82" s="174" t="s">
        <v>180</v>
      </c>
      <c r="D82" s="174" t="s">
        <v>146</v>
      </c>
      <c r="E82" s="200" t="s">
        <v>334</v>
      </c>
      <c r="F82" s="202" t="s">
        <v>228</v>
      </c>
      <c r="G82" s="74">
        <f>G83</f>
        <v>13.2</v>
      </c>
      <c r="Q82" s="44"/>
    </row>
    <row r="83" spans="1:17" s="32" customFormat="1" ht="15.75">
      <c r="A83" s="110" t="s">
        <v>223</v>
      </c>
      <c r="B83" s="113"/>
      <c r="C83" s="174" t="s">
        <v>180</v>
      </c>
      <c r="D83" s="174" t="s">
        <v>146</v>
      </c>
      <c r="E83" s="200" t="s">
        <v>334</v>
      </c>
      <c r="F83" s="202" t="s">
        <v>224</v>
      </c>
      <c r="G83" s="74">
        <v>13.2</v>
      </c>
      <c r="Q83" s="44"/>
    </row>
    <row r="84" spans="1:17" s="32" customFormat="1" ht="15.75">
      <c r="A84" s="110" t="s">
        <v>264</v>
      </c>
      <c r="B84" s="113"/>
      <c r="C84" s="174" t="s">
        <v>180</v>
      </c>
      <c r="D84" s="174" t="s">
        <v>146</v>
      </c>
      <c r="E84" s="200" t="s">
        <v>334</v>
      </c>
      <c r="F84" s="202" t="s">
        <v>216</v>
      </c>
      <c r="G84" s="74">
        <f>G85</f>
        <v>41.5</v>
      </c>
      <c r="Q84" s="44"/>
    </row>
    <row r="85" spans="1:17" s="32" customFormat="1" ht="15.75">
      <c r="A85" s="110" t="s">
        <v>217</v>
      </c>
      <c r="B85" s="113"/>
      <c r="C85" s="174" t="s">
        <v>180</v>
      </c>
      <c r="D85" s="174" t="s">
        <v>146</v>
      </c>
      <c r="E85" s="200" t="s">
        <v>334</v>
      </c>
      <c r="F85" s="202" t="s">
        <v>215</v>
      </c>
      <c r="G85" s="74">
        <v>41.5</v>
      </c>
      <c r="Q85" s="44"/>
    </row>
    <row r="86" spans="1:17" s="32" customFormat="1" ht="15.75">
      <c r="A86" s="124" t="s">
        <v>385</v>
      </c>
      <c r="B86" s="113"/>
      <c r="C86" s="174" t="s">
        <v>180</v>
      </c>
      <c r="D86" s="174" t="s">
        <v>146</v>
      </c>
      <c r="E86" s="200" t="s">
        <v>335</v>
      </c>
      <c r="F86" s="202"/>
      <c r="G86" s="74">
        <f>G87</f>
        <v>1934.6</v>
      </c>
      <c r="Q86" s="44"/>
    </row>
    <row r="87" spans="1:17" s="32" customFormat="1" ht="15.75">
      <c r="A87" s="112" t="s">
        <v>203</v>
      </c>
      <c r="B87" s="113"/>
      <c r="C87" s="174" t="s">
        <v>180</v>
      </c>
      <c r="D87" s="174" t="s">
        <v>146</v>
      </c>
      <c r="E87" s="200" t="s">
        <v>335</v>
      </c>
      <c r="F87" s="202" t="s">
        <v>204</v>
      </c>
      <c r="G87" s="74">
        <f>G88</f>
        <v>1934.6</v>
      </c>
      <c r="Q87" s="44"/>
    </row>
    <row r="88" spans="1:17" s="32" customFormat="1" ht="15.75">
      <c r="A88" s="112" t="s">
        <v>234</v>
      </c>
      <c r="B88" s="113"/>
      <c r="C88" s="174" t="s">
        <v>180</v>
      </c>
      <c r="D88" s="174" t="s">
        <v>146</v>
      </c>
      <c r="E88" s="200" t="s">
        <v>335</v>
      </c>
      <c r="F88" s="202" t="s">
        <v>233</v>
      </c>
      <c r="G88" s="74">
        <v>1934.6</v>
      </c>
      <c r="Q88" s="44"/>
    </row>
    <row r="89" spans="1:17" s="32" customFormat="1" ht="25.5">
      <c r="A89" s="125" t="s">
        <v>513</v>
      </c>
      <c r="B89" s="113"/>
      <c r="C89" s="173" t="s">
        <v>180</v>
      </c>
      <c r="D89" s="173" t="s">
        <v>146</v>
      </c>
      <c r="E89" s="201" t="s">
        <v>336</v>
      </c>
      <c r="F89" s="203"/>
      <c r="G89" s="78">
        <f>G90+G97</f>
        <v>1215.8</v>
      </c>
      <c r="Q89" s="44"/>
    </row>
    <row r="90" spans="1:17" s="32" customFormat="1" ht="15.75">
      <c r="A90" s="112" t="s">
        <v>112</v>
      </c>
      <c r="B90" s="113"/>
      <c r="C90" s="174" t="s">
        <v>180</v>
      </c>
      <c r="D90" s="174" t="s">
        <v>146</v>
      </c>
      <c r="E90" s="200" t="s">
        <v>337</v>
      </c>
      <c r="F90" s="202"/>
      <c r="G90" s="74">
        <f>G91+G95+G93</f>
        <v>380</v>
      </c>
      <c r="Q90" s="44"/>
    </row>
    <row r="91" spans="1:17" s="32" customFormat="1" ht="17.25" customHeight="1">
      <c r="A91" s="110" t="s">
        <v>139</v>
      </c>
      <c r="B91" s="113"/>
      <c r="C91" s="174" t="s">
        <v>180</v>
      </c>
      <c r="D91" s="174" t="s">
        <v>146</v>
      </c>
      <c r="E91" s="200" t="s">
        <v>337</v>
      </c>
      <c r="F91" s="202" t="s">
        <v>228</v>
      </c>
      <c r="G91" s="74">
        <f>G92</f>
        <v>35.1</v>
      </c>
      <c r="Q91" s="44"/>
    </row>
    <row r="92" spans="1:17" s="32" customFormat="1" ht="15.75">
      <c r="A92" s="110" t="s">
        <v>223</v>
      </c>
      <c r="B92" s="113"/>
      <c r="C92" s="174" t="s">
        <v>180</v>
      </c>
      <c r="D92" s="174" t="s">
        <v>146</v>
      </c>
      <c r="E92" s="200" t="s">
        <v>337</v>
      </c>
      <c r="F92" s="202" t="s">
        <v>224</v>
      </c>
      <c r="G92" s="74">
        <v>35.1</v>
      </c>
      <c r="Q92" s="44"/>
    </row>
    <row r="93" spans="1:17" s="32" customFormat="1" ht="16.5" customHeight="1">
      <c r="A93" s="110" t="s">
        <v>264</v>
      </c>
      <c r="B93" s="113"/>
      <c r="C93" s="174" t="s">
        <v>180</v>
      </c>
      <c r="D93" s="174" t="s">
        <v>146</v>
      </c>
      <c r="E93" s="200" t="s">
        <v>337</v>
      </c>
      <c r="F93" s="202" t="s">
        <v>216</v>
      </c>
      <c r="G93" s="74">
        <f>G94</f>
        <v>324.9</v>
      </c>
      <c r="Q93" s="44"/>
    </row>
    <row r="94" spans="1:17" s="32" customFormat="1" ht="15.75">
      <c r="A94" s="110" t="s">
        <v>217</v>
      </c>
      <c r="B94" s="113"/>
      <c r="C94" s="174" t="s">
        <v>180</v>
      </c>
      <c r="D94" s="174" t="s">
        <v>146</v>
      </c>
      <c r="E94" s="200" t="s">
        <v>337</v>
      </c>
      <c r="F94" s="202" t="s">
        <v>215</v>
      </c>
      <c r="G94" s="74">
        <v>324.9</v>
      </c>
      <c r="Q94" s="44"/>
    </row>
    <row r="95" spans="1:17" s="32" customFormat="1" ht="25.5">
      <c r="A95" s="110" t="s">
        <v>235</v>
      </c>
      <c r="B95" s="113"/>
      <c r="C95" s="174" t="s">
        <v>180</v>
      </c>
      <c r="D95" s="174" t="s">
        <v>146</v>
      </c>
      <c r="E95" s="200" t="s">
        <v>337</v>
      </c>
      <c r="F95" s="202" t="s">
        <v>206</v>
      </c>
      <c r="G95" s="74">
        <f>G96</f>
        <v>20</v>
      </c>
      <c r="Q95" s="44"/>
    </row>
    <row r="96" spans="1:17" s="32" customFormat="1" ht="25.5">
      <c r="A96" s="110" t="s">
        <v>518</v>
      </c>
      <c r="B96" s="113"/>
      <c r="C96" s="174" t="s">
        <v>180</v>
      </c>
      <c r="D96" s="174" t="s">
        <v>146</v>
      </c>
      <c r="E96" s="200" t="s">
        <v>337</v>
      </c>
      <c r="F96" s="202" t="s">
        <v>236</v>
      </c>
      <c r="G96" s="74">
        <v>20</v>
      </c>
      <c r="Q96" s="44"/>
    </row>
    <row r="97" spans="1:17" s="32" customFormat="1" ht="15.75">
      <c r="A97" s="117" t="s">
        <v>386</v>
      </c>
      <c r="B97" s="113"/>
      <c r="C97" s="174" t="s">
        <v>180</v>
      </c>
      <c r="D97" s="174" t="s">
        <v>146</v>
      </c>
      <c r="E97" s="200" t="s">
        <v>338</v>
      </c>
      <c r="F97" s="202"/>
      <c r="G97" s="74">
        <f>G98</f>
        <v>835.8</v>
      </c>
      <c r="Q97" s="44"/>
    </row>
    <row r="98" spans="1:17" s="32" customFormat="1" ht="25.5">
      <c r="A98" s="110" t="s">
        <v>235</v>
      </c>
      <c r="B98" s="113"/>
      <c r="C98" s="174" t="s">
        <v>180</v>
      </c>
      <c r="D98" s="174" t="s">
        <v>146</v>
      </c>
      <c r="E98" s="200" t="s">
        <v>338</v>
      </c>
      <c r="F98" s="202" t="s">
        <v>206</v>
      </c>
      <c r="G98" s="74">
        <f>G99</f>
        <v>835.8</v>
      </c>
      <c r="Q98" s="44"/>
    </row>
    <row r="99" spans="1:17" s="32" customFormat="1" ht="25.5">
      <c r="A99" s="110" t="s">
        <v>518</v>
      </c>
      <c r="B99" s="113"/>
      <c r="C99" s="174" t="s">
        <v>180</v>
      </c>
      <c r="D99" s="174" t="s">
        <v>146</v>
      </c>
      <c r="E99" s="200" t="s">
        <v>338</v>
      </c>
      <c r="F99" s="202" t="s">
        <v>236</v>
      </c>
      <c r="G99" s="74">
        <v>835.8</v>
      </c>
      <c r="Q99" s="44"/>
    </row>
    <row r="100" spans="1:17" s="32" customFormat="1" ht="15.75">
      <c r="A100" s="125" t="s">
        <v>555</v>
      </c>
      <c r="B100" s="113"/>
      <c r="C100" s="173" t="s">
        <v>180</v>
      </c>
      <c r="D100" s="173" t="s">
        <v>146</v>
      </c>
      <c r="E100" s="201" t="s">
        <v>558</v>
      </c>
      <c r="F100" s="203"/>
      <c r="G100" s="78">
        <f>G101</f>
        <v>80</v>
      </c>
      <c r="Q100" s="44"/>
    </row>
    <row r="101" spans="1:17" s="32" customFormat="1" ht="15.75">
      <c r="A101" s="112" t="s">
        <v>112</v>
      </c>
      <c r="B101" s="113"/>
      <c r="C101" s="174" t="s">
        <v>180</v>
      </c>
      <c r="D101" s="174" t="s">
        <v>146</v>
      </c>
      <c r="E101" s="200" t="s">
        <v>557</v>
      </c>
      <c r="F101" s="202"/>
      <c r="G101" s="74">
        <f>G102+G104</f>
        <v>80</v>
      </c>
      <c r="Q101" s="44"/>
    </row>
    <row r="102" spans="1:17" s="32" customFormat="1" ht="25.5">
      <c r="A102" s="110" t="s">
        <v>139</v>
      </c>
      <c r="B102" s="113"/>
      <c r="C102" s="174" t="s">
        <v>180</v>
      </c>
      <c r="D102" s="174" t="s">
        <v>146</v>
      </c>
      <c r="E102" s="200" t="s">
        <v>557</v>
      </c>
      <c r="F102" s="202" t="s">
        <v>228</v>
      </c>
      <c r="G102" s="74">
        <f>G103</f>
        <v>60</v>
      </c>
      <c r="Q102" s="44"/>
    </row>
    <row r="103" spans="1:17" s="32" customFormat="1" ht="16.5" customHeight="1">
      <c r="A103" s="110" t="s">
        <v>223</v>
      </c>
      <c r="B103" s="113"/>
      <c r="C103" s="174" t="s">
        <v>180</v>
      </c>
      <c r="D103" s="174" t="s">
        <v>146</v>
      </c>
      <c r="E103" s="200" t="s">
        <v>557</v>
      </c>
      <c r="F103" s="202" t="s">
        <v>224</v>
      </c>
      <c r="G103" s="74">
        <v>60</v>
      </c>
      <c r="Q103" s="44"/>
    </row>
    <row r="104" spans="1:17" s="32" customFormat="1" ht="15.75">
      <c r="A104" s="110" t="s">
        <v>264</v>
      </c>
      <c r="B104" s="113"/>
      <c r="C104" s="174" t="s">
        <v>180</v>
      </c>
      <c r="D104" s="174" t="s">
        <v>146</v>
      </c>
      <c r="E104" s="200" t="s">
        <v>557</v>
      </c>
      <c r="F104" s="202" t="s">
        <v>216</v>
      </c>
      <c r="G104" s="74">
        <f>G105</f>
        <v>20</v>
      </c>
      <c r="Q104" s="44"/>
    </row>
    <row r="105" spans="1:17" s="32" customFormat="1" ht="15.75">
      <c r="A105" s="110" t="s">
        <v>217</v>
      </c>
      <c r="B105" s="113"/>
      <c r="C105" s="174" t="s">
        <v>180</v>
      </c>
      <c r="D105" s="174" t="s">
        <v>146</v>
      </c>
      <c r="E105" s="200" t="s">
        <v>557</v>
      </c>
      <c r="F105" s="202" t="s">
        <v>215</v>
      </c>
      <c r="G105" s="74">
        <v>20</v>
      </c>
      <c r="Q105" s="44"/>
    </row>
    <row r="106" spans="1:17" s="32" customFormat="1" ht="15.75">
      <c r="A106" s="126" t="s">
        <v>488</v>
      </c>
      <c r="B106" s="127"/>
      <c r="C106" s="153" t="s">
        <v>180</v>
      </c>
      <c r="D106" s="153" t="s">
        <v>146</v>
      </c>
      <c r="E106" s="201" t="s">
        <v>468</v>
      </c>
      <c r="F106" s="211"/>
      <c r="G106" s="78">
        <f>G107</f>
        <v>56</v>
      </c>
      <c r="Q106" s="44"/>
    </row>
    <row r="107" spans="1:17" s="32" customFormat="1" ht="15.75">
      <c r="A107" s="112" t="s">
        <v>111</v>
      </c>
      <c r="B107" s="113"/>
      <c r="C107" s="152" t="s">
        <v>180</v>
      </c>
      <c r="D107" s="152" t="s">
        <v>146</v>
      </c>
      <c r="E107" s="210" t="s">
        <v>469</v>
      </c>
      <c r="F107" s="208"/>
      <c r="G107" s="74">
        <f>G108</f>
        <v>56</v>
      </c>
      <c r="Q107" s="44"/>
    </row>
    <row r="108" spans="1:17" s="32" customFormat="1" ht="15.75">
      <c r="A108" s="110" t="s">
        <v>264</v>
      </c>
      <c r="B108" s="111"/>
      <c r="C108" s="152" t="s">
        <v>180</v>
      </c>
      <c r="D108" s="152" t="s">
        <v>146</v>
      </c>
      <c r="E108" s="210" t="s">
        <v>469</v>
      </c>
      <c r="F108" s="208" t="s">
        <v>216</v>
      </c>
      <c r="G108" s="74">
        <f>G109</f>
        <v>56</v>
      </c>
      <c r="Q108" s="44"/>
    </row>
    <row r="109" spans="1:17" s="32" customFormat="1" ht="15" customHeight="1">
      <c r="A109" s="110" t="s">
        <v>217</v>
      </c>
      <c r="B109" s="113"/>
      <c r="C109" s="152" t="s">
        <v>180</v>
      </c>
      <c r="D109" s="152" t="s">
        <v>146</v>
      </c>
      <c r="E109" s="210" t="s">
        <v>469</v>
      </c>
      <c r="F109" s="208" t="s">
        <v>215</v>
      </c>
      <c r="G109" s="74">
        <v>56</v>
      </c>
      <c r="Q109" s="44"/>
    </row>
    <row r="110" spans="1:17" s="34" customFormat="1" ht="15" customHeight="1">
      <c r="A110" s="106" t="s">
        <v>584</v>
      </c>
      <c r="B110" s="107"/>
      <c r="C110" s="173" t="s">
        <v>180</v>
      </c>
      <c r="D110" s="173" t="s">
        <v>146</v>
      </c>
      <c r="E110" s="201" t="s">
        <v>47</v>
      </c>
      <c r="F110" s="203"/>
      <c r="G110" s="78">
        <f>G119+G111+G124</f>
        <v>25886.75</v>
      </c>
      <c r="Q110" s="71"/>
    </row>
    <row r="111" spans="1:17" s="34" customFormat="1" ht="15.75">
      <c r="A111" s="108" t="s">
        <v>127</v>
      </c>
      <c r="B111" s="107"/>
      <c r="C111" s="174" t="s">
        <v>180</v>
      </c>
      <c r="D111" s="174" t="s">
        <v>146</v>
      </c>
      <c r="E111" s="200" t="s">
        <v>305</v>
      </c>
      <c r="F111" s="202"/>
      <c r="G111" s="74">
        <f>G112+G114+G116</f>
        <v>23008.2</v>
      </c>
      <c r="Q111" s="71"/>
    </row>
    <row r="112" spans="1:17" s="32" customFormat="1" ht="25.5">
      <c r="A112" s="110" t="s">
        <v>139</v>
      </c>
      <c r="B112" s="107"/>
      <c r="C112" s="174" t="s">
        <v>180</v>
      </c>
      <c r="D112" s="174" t="s">
        <v>146</v>
      </c>
      <c r="E112" s="200" t="s">
        <v>305</v>
      </c>
      <c r="F112" s="202" t="s">
        <v>228</v>
      </c>
      <c r="G112" s="74">
        <f>G113</f>
        <v>6131.299999999999</v>
      </c>
      <c r="Q112" s="44"/>
    </row>
    <row r="113" spans="1:17" s="32" customFormat="1" ht="15.75">
      <c r="A113" s="110" t="s">
        <v>307</v>
      </c>
      <c r="B113" s="107"/>
      <c r="C113" s="174" t="s">
        <v>180</v>
      </c>
      <c r="D113" s="174" t="s">
        <v>146</v>
      </c>
      <c r="E113" s="200" t="s">
        <v>305</v>
      </c>
      <c r="F113" s="202" t="s">
        <v>306</v>
      </c>
      <c r="G113" s="74">
        <f>4382.7+355+1393.6</f>
        <v>6131.299999999999</v>
      </c>
      <c r="Q113" s="44"/>
    </row>
    <row r="114" spans="1:17" s="32" customFormat="1" ht="15.75">
      <c r="A114" s="110" t="s">
        <v>264</v>
      </c>
      <c r="B114" s="107"/>
      <c r="C114" s="174" t="s">
        <v>180</v>
      </c>
      <c r="D114" s="174" t="s">
        <v>146</v>
      </c>
      <c r="E114" s="200" t="s">
        <v>305</v>
      </c>
      <c r="F114" s="202" t="s">
        <v>216</v>
      </c>
      <c r="G114" s="74">
        <f>G115</f>
        <v>16249.5</v>
      </c>
      <c r="Q114" s="44"/>
    </row>
    <row r="115" spans="1:17" s="32" customFormat="1" ht="15.75">
      <c r="A115" s="110" t="s">
        <v>217</v>
      </c>
      <c r="B115" s="107"/>
      <c r="C115" s="174" t="s">
        <v>180</v>
      </c>
      <c r="D115" s="174" t="s">
        <v>146</v>
      </c>
      <c r="E115" s="200" t="s">
        <v>305</v>
      </c>
      <c r="F115" s="202" t="s">
        <v>215</v>
      </c>
      <c r="G115" s="74">
        <v>16249.5</v>
      </c>
      <c r="Q115" s="44"/>
    </row>
    <row r="116" spans="1:17" s="32" customFormat="1" ht="15.75">
      <c r="A116" s="128" t="s">
        <v>107</v>
      </c>
      <c r="B116" s="107"/>
      <c r="C116" s="174" t="s">
        <v>180</v>
      </c>
      <c r="D116" s="174" t="s">
        <v>146</v>
      </c>
      <c r="E116" s="200" t="s">
        <v>305</v>
      </c>
      <c r="F116" s="202" t="s">
        <v>100</v>
      </c>
      <c r="G116" s="74">
        <f>G118+G117</f>
        <v>627.4</v>
      </c>
      <c r="Q116" s="44"/>
    </row>
    <row r="117" spans="1:17" s="32" customFormat="1" ht="15.75">
      <c r="A117" s="128" t="s">
        <v>351</v>
      </c>
      <c r="B117" s="107"/>
      <c r="C117" s="174" t="s">
        <v>180</v>
      </c>
      <c r="D117" s="174" t="s">
        <v>146</v>
      </c>
      <c r="E117" s="200" t="s">
        <v>305</v>
      </c>
      <c r="F117" s="202" t="s">
        <v>607</v>
      </c>
      <c r="G117" s="74">
        <v>5.4</v>
      </c>
      <c r="Q117" s="44"/>
    </row>
    <row r="118" spans="1:17" s="32" customFormat="1" ht="15.75">
      <c r="A118" s="128" t="s">
        <v>242</v>
      </c>
      <c r="B118" s="107"/>
      <c r="C118" s="174" t="s">
        <v>180</v>
      </c>
      <c r="D118" s="174" t="s">
        <v>146</v>
      </c>
      <c r="E118" s="200" t="s">
        <v>305</v>
      </c>
      <c r="F118" s="202" t="s">
        <v>243</v>
      </c>
      <c r="G118" s="74">
        <v>622</v>
      </c>
      <c r="Q118" s="44"/>
    </row>
    <row r="119" spans="1:17" s="32" customFormat="1" ht="15.75">
      <c r="A119" s="112" t="s">
        <v>109</v>
      </c>
      <c r="B119" s="113"/>
      <c r="C119" s="174" t="s">
        <v>180</v>
      </c>
      <c r="D119" s="174" t="s">
        <v>146</v>
      </c>
      <c r="E119" s="200" t="s">
        <v>59</v>
      </c>
      <c r="F119" s="202"/>
      <c r="G119" s="74">
        <f>SUM(G120,G122)</f>
        <v>2521.2</v>
      </c>
      <c r="Q119" s="44"/>
    </row>
    <row r="120" spans="1:17" s="32" customFormat="1" ht="15.75">
      <c r="A120" s="110" t="s">
        <v>264</v>
      </c>
      <c r="B120" s="111"/>
      <c r="C120" s="174" t="s">
        <v>180</v>
      </c>
      <c r="D120" s="174" t="s">
        <v>146</v>
      </c>
      <c r="E120" s="200" t="s">
        <v>59</v>
      </c>
      <c r="F120" s="202" t="s">
        <v>216</v>
      </c>
      <c r="G120" s="74">
        <f>G121</f>
        <v>2486.2</v>
      </c>
      <c r="Q120" s="44"/>
    </row>
    <row r="121" spans="1:17" s="32" customFormat="1" ht="15.75">
      <c r="A121" s="110" t="s">
        <v>217</v>
      </c>
      <c r="B121" s="113"/>
      <c r="C121" s="174" t="s">
        <v>180</v>
      </c>
      <c r="D121" s="174" t="s">
        <v>146</v>
      </c>
      <c r="E121" s="200" t="s">
        <v>59</v>
      </c>
      <c r="F121" s="202" t="s">
        <v>215</v>
      </c>
      <c r="G121" s="74">
        <v>2486.2</v>
      </c>
      <c r="Q121" s="44"/>
    </row>
    <row r="122" spans="1:17" s="36" customFormat="1" ht="15.75">
      <c r="A122" s="128" t="s">
        <v>107</v>
      </c>
      <c r="B122" s="113"/>
      <c r="C122" s="174" t="s">
        <v>244</v>
      </c>
      <c r="D122" s="174" t="s">
        <v>146</v>
      </c>
      <c r="E122" s="200" t="s">
        <v>59</v>
      </c>
      <c r="F122" s="202" t="s">
        <v>100</v>
      </c>
      <c r="G122" s="74">
        <f>G123</f>
        <v>35</v>
      </c>
      <c r="Q122" s="43"/>
    </row>
    <row r="123" spans="1:17" s="36" customFormat="1" ht="15.75">
      <c r="A123" s="128" t="s">
        <v>242</v>
      </c>
      <c r="B123" s="113"/>
      <c r="C123" s="174" t="s">
        <v>180</v>
      </c>
      <c r="D123" s="174" t="s">
        <v>146</v>
      </c>
      <c r="E123" s="200" t="s">
        <v>59</v>
      </c>
      <c r="F123" s="202" t="s">
        <v>243</v>
      </c>
      <c r="G123" s="74">
        <v>35</v>
      </c>
      <c r="Q123" s="43"/>
    </row>
    <row r="124" spans="1:17" s="36" customFormat="1" ht="15.75">
      <c r="A124" s="112" t="s">
        <v>680</v>
      </c>
      <c r="B124" s="113"/>
      <c r="C124" s="174" t="s">
        <v>180</v>
      </c>
      <c r="D124" s="174" t="s">
        <v>146</v>
      </c>
      <c r="E124" s="200" t="s">
        <v>679</v>
      </c>
      <c r="F124" s="202"/>
      <c r="G124" s="74">
        <f>G125</f>
        <v>357.35</v>
      </c>
      <c r="Q124" s="43"/>
    </row>
    <row r="125" spans="1:17" s="36" customFormat="1" ht="25.5">
      <c r="A125" s="110" t="s">
        <v>139</v>
      </c>
      <c r="B125" s="111"/>
      <c r="C125" s="174" t="s">
        <v>180</v>
      </c>
      <c r="D125" s="174" t="s">
        <v>146</v>
      </c>
      <c r="E125" s="200" t="s">
        <v>679</v>
      </c>
      <c r="F125" s="202" t="s">
        <v>228</v>
      </c>
      <c r="G125" s="74">
        <f>G126</f>
        <v>357.35</v>
      </c>
      <c r="Q125" s="43"/>
    </row>
    <row r="126" spans="1:17" s="36" customFormat="1" ht="15.75">
      <c r="A126" s="110" t="s">
        <v>307</v>
      </c>
      <c r="B126" s="113"/>
      <c r="C126" s="174" t="s">
        <v>180</v>
      </c>
      <c r="D126" s="174" t="s">
        <v>146</v>
      </c>
      <c r="E126" s="200" t="s">
        <v>679</v>
      </c>
      <c r="F126" s="202" t="s">
        <v>306</v>
      </c>
      <c r="G126" s="74">
        <f>274.462+82.888</f>
        <v>357.35</v>
      </c>
      <c r="Q126" s="43"/>
    </row>
    <row r="127" spans="1:17" s="36" customFormat="1" ht="15.75">
      <c r="A127" s="129" t="s">
        <v>349</v>
      </c>
      <c r="B127" s="115"/>
      <c r="C127" s="173" t="s">
        <v>180</v>
      </c>
      <c r="D127" s="173" t="s">
        <v>146</v>
      </c>
      <c r="E127" s="212" t="s">
        <v>348</v>
      </c>
      <c r="F127" s="203"/>
      <c r="G127" s="78">
        <f>G128+G132</f>
        <v>660</v>
      </c>
      <c r="Q127" s="43"/>
    </row>
    <row r="128" spans="1:17" s="36" customFormat="1" ht="15.75">
      <c r="A128" s="112" t="s">
        <v>288</v>
      </c>
      <c r="B128" s="113"/>
      <c r="C128" s="174" t="s">
        <v>180</v>
      </c>
      <c r="D128" s="174" t="s">
        <v>146</v>
      </c>
      <c r="E128" s="208" t="s">
        <v>350</v>
      </c>
      <c r="F128" s="213"/>
      <c r="G128" s="74">
        <f>G129</f>
        <v>500</v>
      </c>
      <c r="Q128" s="43"/>
    </row>
    <row r="129" spans="1:17" s="32" customFormat="1" ht="15.75">
      <c r="A129" s="130" t="s">
        <v>107</v>
      </c>
      <c r="B129" s="113"/>
      <c r="C129" s="174" t="s">
        <v>180</v>
      </c>
      <c r="D129" s="174" t="s">
        <v>146</v>
      </c>
      <c r="E129" s="208" t="s">
        <v>350</v>
      </c>
      <c r="F129" s="213">
        <v>800</v>
      </c>
      <c r="G129" s="74">
        <f>G130+G131</f>
        <v>500</v>
      </c>
      <c r="Q129" s="44"/>
    </row>
    <row r="130" spans="1:17" s="32" customFormat="1" ht="15.75">
      <c r="A130" s="130" t="s">
        <v>351</v>
      </c>
      <c r="B130" s="113"/>
      <c r="C130" s="174" t="s">
        <v>180</v>
      </c>
      <c r="D130" s="174" t="s">
        <v>146</v>
      </c>
      <c r="E130" s="208" t="s">
        <v>350</v>
      </c>
      <c r="F130" s="213">
        <v>830</v>
      </c>
      <c r="G130" s="74">
        <v>120</v>
      </c>
      <c r="Q130" s="70"/>
    </row>
    <row r="131" spans="1:17" s="32" customFormat="1" ht="15.75">
      <c r="A131" s="128" t="s">
        <v>242</v>
      </c>
      <c r="B131" s="113"/>
      <c r="C131" s="174" t="s">
        <v>180</v>
      </c>
      <c r="D131" s="174" t="s">
        <v>146</v>
      </c>
      <c r="E131" s="208" t="s">
        <v>350</v>
      </c>
      <c r="F131" s="213">
        <v>850</v>
      </c>
      <c r="G131" s="74">
        <v>380</v>
      </c>
      <c r="Q131" s="44"/>
    </row>
    <row r="132" spans="1:17" s="32" customFormat="1" ht="25.5" customHeight="1">
      <c r="A132" s="112" t="s">
        <v>490</v>
      </c>
      <c r="B132" s="113"/>
      <c r="C132" s="174" t="s">
        <v>180</v>
      </c>
      <c r="D132" s="174" t="s">
        <v>146</v>
      </c>
      <c r="E132" s="208" t="s">
        <v>681</v>
      </c>
      <c r="F132" s="213"/>
      <c r="G132" s="74">
        <f>G133</f>
        <v>160</v>
      </c>
      <c r="Q132" s="44"/>
    </row>
    <row r="133" spans="1:17" s="32" customFormat="1" ht="15.75">
      <c r="A133" s="110" t="s">
        <v>264</v>
      </c>
      <c r="B133" s="113"/>
      <c r="C133" s="174" t="s">
        <v>180</v>
      </c>
      <c r="D133" s="174" t="s">
        <v>146</v>
      </c>
      <c r="E133" s="208" t="s">
        <v>681</v>
      </c>
      <c r="F133" s="213">
        <v>200</v>
      </c>
      <c r="G133" s="74">
        <f>G134</f>
        <v>160</v>
      </c>
      <c r="H133" s="37"/>
      <c r="I133" s="38"/>
      <c r="Q133" s="44"/>
    </row>
    <row r="134" spans="1:17" s="32" customFormat="1" ht="15.75">
      <c r="A134" s="110" t="s">
        <v>217</v>
      </c>
      <c r="B134" s="113"/>
      <c r="C134" s="174" t="s">
        <v>180</v>
      </c>
      <c r="D134" s="174" t="s">
        <v>146</v>
      </c>
      <c r="E134" s="208" t="s">
        <v>681</v>
      </c>
      <c r="F134" s="213">
        <v>240</v>
      </c>
      <c r="G134" s="74">
        <v>160</v>
      </c>
      <c r="Q134" s="44"/>
    </row>
    <row r="135" spans="1:17" s="32" customFormat="1" ht="15.75">
      <c r="A135" s="131" t="s">
        <v>151</v>
      </c>
      <c r="B135" s="107"/>
      <c r="C135" s="173" t="s">
        <v>181</v>
      </c>
      <c r="D135" s="174"/>
      <c r="E135" s="200" t="s">
        <v>201</v>
      </c>
      <c r="F135" s="174"/>
      <c r="G135" s="78">
        <f>G136</f>
        <v>2773.8</v>
      </c>
      <c r="Q135" s="44"/>
    </row>
    <row r="136" spans="1:7" ht="25.5">
      <c r="A136" s="131" t="s">
        <v>514</v>
      </c>
      <c r="B136" s="113"/>
      <c r="C136" s="173" t="s">
        <v>181</v>
      </c>
      <c r="D136" s="173" t="s">
        <v>194</v>
      </c>
      <c r="E136" s="201" t="s">
        <v>201</v>
      </c>
      <c r="F136" s="203" t="s">
        <v>201</v>
      </c>
      <c r="G136" s="78">
        <f>G137</f>
        <v>2773.8</v>
      </c>
    </row>
    <row r="137" spans="1:7" ht="20.25" customHeight="1">
      <c r="A137" s="131" t="s">
        <v>524</v>
      </c>
      <c r="B137" s="113"/>
      <c r="C137" s="173" t="s">
        <v>181</v>
      </c>
      <c r="D137" s="173" t="s">
        <v>194</v>
      </c>
      <c r="E137" s="201" t="s">
        <v>60</v>
      </c>
      <c r="F137" s="203"/>
      <c r="G137" s="78">
        <f>G138+G145</f>
        <v>2773.8</v>
      </c>
    </row>
    <row r="138" spans="1:17" s="32" customFormat="1" ht="25.5">
      <c r="A138" s="131" t="s">
        <v>546</v>
      </c>
      <c r="B138" s="115"/>
      <c r="C138" s="173" t="s">
        <v>181</v>
      </c>
      <c r="D138" s="173" t="s">
        <v>194</v>
      </c>
      <c r="E138" s="201" t="s">
        <v>381</v>
      </c>
      <c r="F138" s="203"/>
      <c r="G138" s="78">
        <f>G139</f>
        <v>2743.8</v>
      </c>
      <c r="Q138" s="44"/>
    </row>
    <row r="139" spans="1:7" ht="15.75">
      <c r="A139" s="108" t="s">
        <v>127</v>
      </c>
      <c r="B139" s="113"/>
      <c r="C139" s="174" t="s">
        <v>181</v>
      </c>
      <c r="D139" s="174" t="s">
        <v>194</v>
      </c>
      <c r="E139" s="200" t="s">
        <v>545</v>
      </c>
      <c r="F139" s="202"/>
      <c r="G139" s="74">
        <f>G140+G142</f>
        <v>2743.8</v>
      </c>
    </row>
    <row r="140" spans="1:7" ht="20.25" customHeight="1">
      <c r="A140" s="132" t="s">
        <v>264</v>
      </c>
      <c r="B140" s="111"/>
      <c r="C140" s="174" t="s">
        <v>181</v>
      </c>
      <c r="D140" s="174" t="s">
        <v>194</v>
      </c>
      <c r="E140" s="200" t="s">
        <v>545</v>
      </c>
      <c r="F140" s="202" t="s">
        <v>228</v>
      </c>
      <c r="G140" s="74">
        <f>G141</f>
        <v>2723.8</v>
      </c>
    </row>
    <row r="141" spans="1:17" s="32" customFormat="1" ht="15" customHeight="1">
      <c r="A141" s="132" t="s">
        <v>217</v>
      </c>
      <c r="B141" s="113"/>
      <c r="C141" s="174" t="s">
        <v>181</v>
      </c>
      <c r="D141" s="174" t="s">
        <v>194</v>
      </c>
      <c r="E141" s="200" t="s">
        <v>545</v>
      </c>
      <c r="F141" s="202" t="s">
        <v>306</v>
      </c>
      <c r="G141" s="74">
        <f>2099.9+623.9</f>
        <v>2723.8</v>
      </c>
      <c r="Q141" s="44"/>
    </row>
    <row r="142" spans="1:7" ht="25.5">
      <c r="A142" s="122" t="s">
        <v>662</v>
      </c>
      <c r="B142" s="113"/>
      <c r="C142" s="174" t="s">
        <v>181</v>
      </c>
      <c r="D142" s="174" t="s">
        <v>194</v>
      </c>
      <c r="E142" s="200" t="s">
        <v>663</v>
      </c>
      <c r="F142" s="202"/>
      <c r="G142" s="74">
        <f>G143</f>
        <v>20</v>
      </c>
    </row>
    <row r="143" spans="1:7" ht="20.25" customHeight="1">
      <c r="A143" s="132" t="s">
        <v>264</v>
      </c>
      <c r="B143" s="113"/>
      <c r="C143" s="174" t="s">
        <v>181</v>
      </c>
      <c r="D143" s="174" t="s">
        <v>194</v>
      </c>
      <c r="E143" s="200" t="s">
        <v>663</v>
      </c>
      <c r="F143" s="202" t="s">
        <v>216</v>
      </c>
      <c r="G143" s="74">
        <f>G144</f>
        <v>20</v>
      </c>
    </row>
    <row r="144" spans="1:17" s="32" customFormat="1" ht="15.75">
      <c r="A144" s="132" t="s">
        <v>217</v>
      </c>
      <c r="B144" s="113"/>
      <c r="C144" s="174" t="s">
        <v>181</v>
      </c>
      <c r="D144" s="174" t="s">
        <v>194</v>
      </c>
      <c r="E144" s="200" t="s">
        <v>663</v>
      </c>
      <c r="F144" s="202" t="s">
        <v>215</v>
      </c>
      <c r="G144" s="74">
        <v>20</v>
      </c>
      <c r="Q144" s="44"/>
    </row>
    <row r="145" spans="1:7" ht="15.75">
      <c r="A145" s="118" t="s">
        <v>61</v>
      </c>
      <c r="B145" s="115"/>
      <c r="C145" s="173" t="s">
        <v>181</v>
      </c>
      <c r="D145" s="173" t="s">
        <v>194</v>
      </c>
      <c r="E145" s="201" t="s">
        <v>62</v>
      </c>
      <c r="F145" s="203"/>
      <c r="G145" s="78">
        <f>G146</f>
        <v>30</v>
      </c>
    </row>
    <row r="146" spans="1:7" ht="20.25" customHeight="1">
      <c r="A146" s="133" t="s">
        <v>64</v>
      </c>
      <c r="B146" s="113"/>
      <c r="C146" s="174" t="s">
        <v>181</v>
      </c>
      <c r="D146" s="174" t="s">
        <v>194</v>
      </c>
      <c r="E146" s="200" t="s">
        <v>63</v>
      </c>
      <c r="F146" s="202"/>
      <c r="G146" s="74">
        <f>SUM(G147)</f>
        <v>30</v>
      </c>
    </row>
    <row r="147" spans="1:7" ht="14.25" customHeight="1">
      <c r="A147" s="132" t="s">
        <v>264</v>
      </c>
      <c r="B147" s="111"/>
      <c r="C147" s="174" t="s">
        <v>181</v>
      </c>
      <c r="D147" s="174" t="s">
        <v>194</v>
      </c>
      <c r="E147" s="200" t="s">
        <v>63</v>
      </c>
      <c r="F147" s="202" t="s">
        <v>216</v>
      </c>
      <c r="G147" s="74">
        <f>G148</f>
        <v>30</v>
      </c>
    </row>
    <row r="148" spans="1:17" s="32" customFormat="1" ht="15.75">
      <c r="A148" s="132" t="s">
        <v>217</v>
      </c>
      <c r="B148" s="113"/>
      <c r="C148" s="174" t="s">
        <v>181</v>
      </c>
      <c r="D148" s="174" t="s">
        <v>194</v>
      </c>
      <c r="E148" s="200" t="s">
        <v>63</v>
      </c>
      <c r="F148" s="202" t="s">
        <v>215</v>
      </c>
      <c r="G148" s="74">
        <v>30</v>
      </c>
      <c r="Q148" s="44"/>
    </row>
    <row r="149" spans="1:17" s="32" customFormat="1" ht="15.75" hidden="1">
      <c r="A149" s="106" t="s">
        <v>210</v>
      </c>
      <c r="B149" s="111"/>
      <c r="C149" s="173" t="s">
        <v>196</v>
      </c>
      <c r="D149" s="174"/>
      <c r="E149" s="200"/>
      <c r="F149" s="202"/>
      <c r="G149" s="78">
        <f>G150+G163+G174</f>
        <v>5079.200000000001</v>
      </c>
      <c r="Q149" s="44"/>
    </row>
    <row r="150" spans="1:17" s="32" customFormat="1" ht="19.5" customHeight="1" hidden="1">
      <c r="A150" s="106" t="s">
        <v>176</v>
      </c>
      <c r="B150" s="107"/>
      <c r="C150" s="173" t="s">
        <v>196</v>
      </c>
      <c r="D150" s="173" t="s">
        <v>198</v>
      </c>
      <c r="E150" s="200"/>
      <c r="F150" s="202"/>
      <c r="G150" s="78">
        <f>G151</f>
        <v>2249.9</v>
      </c>
      <c r="Q150" s="44"/>
    </row>
    <row r="151" spans="1:17" s="32" customFormat="1" ht="15.75" hidden="1">
      <c r="A151" s="106" t="s">
        <v>410</v>
      </c>
      <c r="B151" s="107"/>
      <c r="C151" s="173" t="s">
        <v>196</v>
      </c>
      <c r="D151" s="173" t="s">
        <v>198</v>
      </c>
      <c r="E151" s="201" t="s">
        <v>4</v>
      </c>
      <c r="F151" s="202"/>
      <c r="G151" s="78">
        <f>G160+G155+G152</f>
        <v>2249.9</v>
      </c>
      <c r="Q151" s="44"/>
    </row>
    <row r="152" spans="1:17" s="32" customFormat="1" ht="15.75">
      <c r="A152" s="108" t="s">
        <v>288</v>
      </c>
      <c r="B152" s="111"/>
      <c r="C152" s="174" t="s">
        <v>196</v>
      </c>
      <c r="D152" s="174" t="s">
        <v>198</v>
      </c>
      <c r="E152" s="200" t="s">
        <v>460</v>
      </c>
      <c r="F152" s="202"/>
      <c r="G152" s="74">
        <f>G153</f>
        <v>5</v>
      </c>
      <c r="Q152" s="44"/>
    </row>
    <row r="153" spans="1:17" s="32" customFormat="1" ht="15.75">
      <c r="A153" s="110" t="s">
        <v>264</v>
      </c>
      <c r="B153" s="111"/>
      <c r="C153" s="174" t="s">
        <v>196</v>
      </c>
      <c r="D153" s="174" t="s">
        <v>198</v>
      </c>
      <c r="E153" s="200" t="s">
        <v>460</v>
      </c>
      <c r="F153" s="202" t="s">
        <v>216</v>
      </c>
      <c r="G153" s="74">
        <f>G154</f>
        <v>5</v>
      </c>
      <c r="Q153" s="44"/>
    </row>
    <row r="154" spans="1:17" s="32" customFormat="1" ht="15" customHeight="1">
      <c r="A154" s="110" t="s">
        <v>217</v>
      </c>
      <c r="B154" s="111"/>
      <c r="C154" s="174" t="s">
        <v>196</v>
      </c>
      <c r="D154" s="174" t="s">
        <v>198</v>
      </c>
      <c r="E154" s="200" t="s">
        <v>460</v>
      </c>
      <c r="F154" s="202" t="s">
        <v>215</v>
      </c>
      <c r="G154" s="74">
        <v>5</v>
      </c>
      <c r="Q154" s="44"/>
    </row>
    <row r="155" spans="1:17" s="34" customFormat="1" ht="15.75">
      <c r="A155" s="112" t="s">
        <v>119</v>
      </c>
      <c r="B155" s="111"/>
      <c r="C155" s="174" t="s">
        <v>196</v>
      </c>
      <c r="D155" s="174" t="s">
        <v>198</v>
      </c>
      <c r="E155" s="200" t="s">
        <v>5</v>
      </c>
      <c r="F155" s="202"/>
      <c r="G155" s="74">
        <f>G158+G156</f>
        <v>2129.9</v>
      </c>
      <c r="I155" s="35"/>
      <c r="Q155" s="71"/>
    </row>
    <row r="156" spans="1:17" s="32" customFormat="1" ht="15.75">
      <c r="A156" s="110" t="s">
        <v>264</v>
      </c>
      <c r="B156" s="111"/>
      <c r="C156" s="174" t="s">
        <v>196</v>
      </c>
      <c r="D156" s="174" t="s">
        <v>198</v>
      </c>
      <c r="E156" s="200" t="s">
        <v>5</v>
      </c>
      <c r="F156" s="202" t="s">
        <v>216</v>
      </c>
      <c r="G156" s="74">
        <f>G157</f>
        <v>97.9</v>
      </c>
      <c r="Q156" s="44"/>
    </row>
    <row r="157" spans="1:17" s="32" customFormat="1" ht="15.75">
      <c r="A157" s="110" t="s">
        <v>217</v>
      </c>
      <c r="B157" s="111"/>
      <c r="C157" s="174" t="s">
        <v>196</v>
      </c>
      <c r="D157" s="174" t="s">
        <v>198</v>
      </c>
      <c r="E157" s="200" t="s">
        <v>5</v>
      </c>
      <c r="F157" s="202" t="s">
        <v>215</v>
      </c>
      <c r="G157" s="74">
        <v>97.9</v>
      </c>
      <c r="Q157" s="44"/>
    </row>
    <row r="158" spans="1:17" s="32" customFormat="1" ht="15.75">
      <c r="A158" s="112" t="s">
        <v>107</v>
      </c>
      <c r="B158" s="111"/>
      <c r="C158" s="174" t="s">
        <v>196</v>
      </c>
      <c r="D158" s="174" t="s">
        <v>198</v>
      </c>
      <c r="E158" s="200" t="s">
        <v>5</v>
      </c>
      <c r="F158" s="202" t="s">
        <v>100</v>
      </c>
      <c r="G158" s="74">
        <f>G159</f>
        <v>2032</v>
      </c>
      <c r="Q158" s="44"/>
    </row>
    <row r="159" spans="1:17" s="32" customFormat="1" ht="25.5">
      <c r="A159" s="112" t="s">
        <v>266</v>
      </c>
      <c r="B159" s="111"/>
      <c r="C159" s="174" t="s">
        <v>196</v>
      </c>
      <c r="D159" s="174" t="s">
        <v>198</v>
      </c>
      <c r="E159" s="200" t="s">
        <v>5</v>
      </c>
      <c r="F159" s="202" t="s">
        <v>101</v>
      </c>
      <c r="G159" s="74">
        <f>832+1200</f>
        <v>2032</v>
      </c>
      <c r="Q159" s="44"/>
    </row>
    <row r="160" spans="1:17" s="32" customFormat="1" ht="15.75">
      <c r="A160" s="108" t="s">
        <v>113</v>
      </c>
      <c r="B160" s="111"/>
      <c r="C160" s="174" t="s">
        <v>196</v>
      </c>
      <c r="D160" s="174" t="s">
        <v>198</v>
      </c>
      <c r="E160" s="200" t="s">
        <v>6</v>
      </c>
      <c r="F160" s="202"/>
      <c r="G160" s="74">
        <f>G161</f>
        <v>115</v>
      </c>
      <c r="Q160" s="44"/>
    </row>
    <row r="161" spans="1:17" s="32" customFormat="1" ht="15.75">
      <c r="A161" s="110" t="s">
        <v>264</v>
      </c>
      <c r="B161" s="111"/>
      <c r="C161" s="174" t="s">
        <v>196</v>
      </c>
      <c r="D161" s="174" t="s">
        <v>198</v>
      </c>
      <c r="E161" s="200" t="s">
        <v>6</v>
      </c>
      <c r="F161" s="202" t="s">
        <v>216</v>
      </c>
      <c r="G161" s="74">
        <f>G162</f>
        <v>115</v>
      </c>
      <c r="Q161" s="44"/>
    </row>
    <row r="162" spans="1:17" s="34" customFormat="1" ht="15.75">
      <c r="A162" s="110" t="s">
        <v>217</v>
      </c>
      <c r="B162" s="111"/>
      <c r="C162" s="174" t="s">
        <v>196</v>
      </c>
      <c r="D162" s="174" t="s">
        <v>198</v>
      </c>
      <c r="E162" s="200" t="s">
        <v>6</v>
      </c>
      <c r="F162" s="202" t="s">
        <v>215</v>
      </c>
      <c r="G162" s="74">
        <v>115</v>
      </c>
      <c r="Q162" s="71"/>
    </row>
    <row r="163" spans="1:17" s="32" customFormat="1" ht="15.75">
      <c r="A163" s="106" t="s">
        <v>199</v>
      </c>
      <c r="B163" s="107"/>
      <c r="C163" s="173" t="s">
        <v>196</v>
      </c>
      <c r="D163" s="173" t="s">
        <v>183</v>
      </c>
      <c r="E163" s="201"/>
      <c r="F163" s="203"/>
      <c r="G163" s="78">
        <f>G164</f>
        <v>2509.3</v>
      </c>
      <c r="Q163" s="44"/>
    </row>
    <row r="164" spans="1:17" s="32" customFormat="1" ht="15.75">
      <c r="A164" s="106" t="s">
        <v>300</v>
      </c>
      <c r="B164" s="107"/>
      <c r="C164" s="173" t="s">
        <v>196</v>
      </c>
      <c r="D164" s="173" t="s">
        <v>183</v>
      </c>
      <c r="E164" s="201" t="s">
        <v>21</v>
      </c>
      <c r="F164" s="203"/>
      <c r="G164" s="78">
        <f>G165+G171+G168</f>
        <v>2509.3</v>
      </c>
      <c r="Q164" s="44"/>
    </row>
    <row r="165" spans="1:17" s="32" customFormat="1" ht="15.75">
      <c r="A165" s="112" t="s">
        <v>288</v>
      </c>
      <c r="B165" s="111"/>
      <c r="C165" s="174" t="s">
        <v>196</v>
      </c>
      <c r="D165" s="174" t="s">
        <v>183</v>
      </c>
      <c r="E165" s="200" t="s">
        <v>554</v>
      </c>
      <c r="F165" s="202"/>
      <c r="G165" s="74">
        <f>G166</f>
        <v>70</v>
      </c>
      <c r="Q165" s="44"/>
    </row>
    <row r="166" spans="1:17" s="32" customFormat="1" ht="15.75">
      <c r="A166" s="110" t="s">
        <v>264</v>
      </c>
      <c r="B166" s="111"/>
      <c r="C166" s="174" t="s">
        <v>196</v>
      </c>
      <c r="D166" s="174" t="s">
        <v>183</v>
      </c>
      <c r="E166" s="200" t="s">
        <v>554</v>
      </c>
      <c r="F166" s="202" t="s">
        <v>216</v>
      </c>
      <c r="G166" s="74">
        <f>G167</f>
        <v>70</v>
      </c>
      <c r="Q166" s="44"/>
    </row>
    <row r="167" spans="1:17" s="34" customFormat="1" ht="15.75">
      <c r="A167" s="110" t="s">
        <v>217</v>
      </c>
      <c r="B167" s="111"/>
      <c r="C167" s="174" t="s">
        <v>196</v>
      </c>
      <c r="D167" s="174" t="s">
        <v>183</v>
      </c>
      <c r="E167" s="200" t="s">
        <v>554</v>
      </c>
      <c r="F167" s="202" t="s">
        <v>215</v>
      </c>
      <c r="G167" s="74">
        <v>70</v>
      </c>
      <c r="Q167" s="71"/>
    </row>
    <row r="168" spans="1:17" s="32" customFormat="1" ht="25.5">
      <c r="A168" s="112" t="s">
        <v>588</v>
      </c>
      <c r="B168" s="111"/>
      <c r="C168" s="174" t="s">
        <v>196</v>
      </c>
      <c r="D168" s="174" t="s">
        <v>183</v>
      </c>
      <c r="E168" s="200" t="s">
        <v>587</v>
      </c>
      <c r="F168" s="202"/>
      <c r="G168" s="74">
        <f>G169</f>
        <v>2399.3</v>
      </c>
      <c r="Q168" s="44"/>
    </row>
    <row r="169" spans="1:17" s="32" customFormat="1" ht="15.75">
      <c r="A169" s="110" t="s">
        <v>264</v>
      </c>
      <c r="B169" s="111"/>
      <c r="C169" s="174" t="s">
        <v>196</v>
      </c>
      <c r="D169" s="174" t="s">
        <v>183</v>
      </c>
      <c r="E169" s="200" t="s">
        <v>587</v>
      </c>
      <c r="F169" s="202" t="s">
        <v>216</v>
      </c>
      <c r="G169" s="74">
        <f>G170</f>
        <v>2399.3</v>
      </c>
      <c r="Q169" s="44"/>
    </row>
    <row r="170" spans="1:17" s="32" customFormat="1" ht="15.75">
      <c r="A170" s="110" t="s">
        <v>217</v>
      </c>
      <c r="B170" s="111"/>
      <c r="C170" s="174" t="s">
        <v>196</v>
      </c>
      <c r="D170" s="174" t="s">
        <v>183</v>
      </c>
      <c r="E170" s="200" t="s">
        <v>587</v>
      </c>
      <c r="F170" s="202" t="s">
        <v>215</v>
      </c>
      <c r="G170" s="74">
        <f>3774.3-1375</f>
        <v>2399.3</v>
      </c>
      <c r="Q170" s="44"/>
    </row>
    <row r="171" spans="1:17" s="32" customFormat="1" ht="25.5">
      <c r="A171" s="112" t="s">
        <v>553</v>
      </c>
      <c r="B171" s="111"/>
      <c r="C171" s="174" t="s">
        <v>196</v>
      </c>
      <c r="D171" s="174" t="s">
        <v>183</v>
      </c>
      <c r="E171" s="200" t="s">
        <v>552</v>
      </c>
      <c r="F171" s="202"/>
      <c r="G171" s="74">
        <f>G172</f>
        <v>40</v>
      </c>
      <c r="Q171" s="44"/>
    </row>
    <row r="172" spans="1:17" s="32" customFormat="1" ht="15.75">
      <c r="A172" s="110" t="s">
        <v>264</v>
      </c>
      <c r="B172" s="111"/>
      <c r="C172" s="174" t="s">
        <v>196</v>
      </c>
      <c r="D172" s="174" t="s">
        <v>183</v>
      </c>
      <c r="E172" s="200" t="s">
        <v>552</v>
      </c>
      <c r="F172" s="202" t="s">
        <v>216</v>
      </c>
      <c r="G172" s="74">
        <f>G173</f>
        <v>40</v>
      </c>
      <c r="Q172" s="44"/>
    </row>
    <row r="173" spans="1:17" s="32" customFormat="1" ht="15.75">
      <c r="A173" s="110" t="s">
        <v>217</v>
      </c>
      <c r="B173" s="111"/>
      <c r="C173" s="174" t="s">
        <v>196</v>
      </c>
      <c r="D173" s="174" t="s">
        <v>183</v>
      </c>
      <c r="E173" s="200" t="s">
        <v>552</v>
      </c>
      <c r="F173" s="202" t="s">
        <v>215</v>
      </c>
      <c r="G173" s="74">
        <v>40</v>
      </c>
      <c r="Q173" s="44"/>
    </row>
    <row r="174" spans="1:17" s="32" customFormat="1" ht="15.75">
      <c r="A174" s="134" t="s">
        <v>159</v>
      </c>
      <c r="B174" s="107"/>
      <c r="C174" s="173" t="s">
        <v>196</v>
      </c>
      <c r="D174" s="173" t="s">
        <v>188</v>
      </c>
      <c r="E174" s="201"/>
      <c r="F174" s="203"/>
      <c r="G174" s="78">
        <f>G175</f>
        <v>320</v>
      </c>
      <c r="Q174" s="44"/>
    </row>
    <row r="175" spans="1:17" s="32" customFormat="1" ht="25.5">
      <c r="A175" s="114" t="s">
        <v>345</v>
      </c>
      <c r="B175" s="115"/>
      <c r="C175" s="173" t="s">
        <v>196</v>
      </c>
      <c r="D175" s="173" t="s">
        <v>188</v>
      </c>
      <c r="E175" s="201" t="s">
        <v>15</v>
      </c>
      <c r="F175" s="203"/>
      <c r="G175" s="78">
        <f>G176</f>
        <v>320</v>
      </c>
      <c r="Q175" s="44"/>
    </row>
    <row r="176" spans="1:17" s="32" customFormat="1" ht="15.75">
      <c r="A176" s="112" t="s">
        <v>110</v>
      </c>
      <c r="B176" s="113"/>
      <c r="C176" s="174" t="s">
        <v>196</v>
      </c>
      <c r="D176" s="174" t="s">
        <v>188</v>
      </c>
      <c r="E176" s="200" t="s">
        <v>16</v>
      </c>
      <c r="F176" s="202"/>
      <c r="G176" s="74">
        <f>G181+G177+G179</f>
        <v>320</v>
      </c>
      <c r="Q176" s="44"/>
    </row>
    <row r="177" spans="1:17" s="32" customFormat="1" ht="15.75">
      <c r="A177" s="110" t="s">
        <v>264</v>
      </c>
      <c r="B177" s="113"/>
      <c r="C177" s="174" t="s">
        <v>196</v>
      </c>
      <c r="D177" s="174" t="s">
        <v>188</v>
      </c>
      <c r="E177" s="200" t="s">
        <v>16</v>
      </c>
      <c r="F177" s="202" t="s">
        <v>216</v>
      </c>
      <c r="G177" s="74">
        <f>G178</f>
        <v>110</v>
      </c>
      <c r="Q177" s="44"/>
    </row>
    <row r="178" spans="1:17" s="32" customFormat="1" ht="15.75">
      <c r="A178" s="110" t="s">
        <v>217</v>
      </c>
      <c r="B178" s="113"/>
      <c r="C178" s="174" t="s">
        <v>196</v>
      </c>
      <c r="D178" s="174" t="s">
        <v>188</v>
      </c>
      <c r="E178" s="200" t="s">
        <v>16</v>
      </c>
      <c r="F178" s="202" t="s">
        <v>215</v>
      </c>
      <c r="G178" s="74">
        <v>110</v>
      </c>
      <c r="Q178" s="44"/>
    </row>
    <row r="179" spans="1:18" s="32" customFormat="1" ht="15.75">
      <c r="A179" s="128" t="s">
        <v>220</v>
      </c>
      <c r="B179" s="113"/>
      <c r="C179" s="174" t="s">
        <v>196</v>
      </c>
      <c r="D179" s="174" t="s">
        <v>188</v>
      </c>
      <c r="E179" s="200" t="s">
        <v>16</v>
      </c>
      <c r="F179" s="202" t="s">
        <v>206</v>
      </c>
      <c r="G179" s="74">
        <f>G180</f>
        <v>10</v>
      </c>
      <c r="Q179" s="44"/>
      <c r="R179" s="33"/>
    </row>
    <row r="180" spans="1:17" s="32" customFormat="1" ht="15.75">
      <c r="A180" s="135" t="s">
        <v>221</v>
      </c>
      <c r="B180" s="113"/>
      <c r="C180" s="174" t="s">
        <v>196</v>
      </c>
      <c r="D180" s="174" t="s">
        <v>188</v>
      </c>
      <c r="E180" s="200" t="s">
        <v>16</v>
      </c>
      <c r="F180" s="202" t="s">
        <v>222</v>
      </c>
      <c r="G180" s="74">
        <v>10</v>
      </c>
      <c r="Q180" s="44"/>
    </row>
    <row r="181" spans="1:17" s="32" customFormat="1" ht="15.75">
      <c r="A181" s="112" t="s">
        <v>107</v>
      </c>
      <c r="B181" s="113"/>
      <c r="C181" s="174" t="s">
        <v>196</v>
      </c>
      <c r="D181" s="174" t="s">
        <v>188</v>
      </c>
      <c r="E181" s="200" t="s">
        <v>16</v>
      </c>
      <c r="F181" s="202" t="s">
        <v>100</v>
      </c>
      <c r="G181" s="74">
        <f>G182</f>
        <v>200</v>
      </c>
      <c r="Q181" s="44"/>
    </row>
    <row r="182" spans="1:17" s="32" customFormat="1" ht="25.5">
      <c r="A182" s="112" t="s">
        <v>266</v>
      </c>
      <c r="B182" s="113"/>
      <c r="C182" s="174" t="s">
        <v>196</v>
      </c>
      <c r="D182" s="174" t="s">
        <v>188</v>
      </c>
      <c r="E182" s="200" t="s">
        <v>16</v>
      </c>
      <c r="F182" s="202" t="s">
        <v>101</v>
      </c>
      <c r="G182" s="74">
        <v>200</v>
      </c>
      <c r="Q182" s="44"/>
    </row>
    <row r="183" spans="1:17" s="32" customFormat="1" ht="15.75">
      <c r="A183" s="106" t="s">
        <v>178</v>
      </c>
      <c r="B183" s="137"/>
      <c r="C183" s="173" t="s">
        <v>150</v>
      </c>
      <c r="D183" s="173"/>
      <c r="E183" s="200"/>
      <c r="F183" s="202"/>
      <c r="G183" s="78">
        <f>G184</f>
        <v>1024.9</v>
      </c>
      <c r="Q183" s="44"/>
    </row>
    <row r="184" spans="1:17" s="32" customFormat="1" ht="15.75">
      <c r="A184" s="129" t="s">
        <v>147</v>
      </c>
      <c r="B184" s="138"/>
      <c r="C184" s="173" t="s">
        <v>150</v>
      </c>
      <c r="D184" s="173" t="s">
        <v>181</v>
      </c>
      <c r="E184" s="201"/>
      <c r="F184" s="203"/>
      <c r="G184" s="78">
        <f>G185</f>
        <v>1024.9</v>
      </c>
      <c r="Q184" s="44"/>
    </row>
    <row r="185" spans="1:17" s="32" customFormat="1" ht="15.75">
      <c r="A185" s="106" t="s">
        <v>322</v>
      </c>
      <c r="B185" s="138"/>
      <c r="C185" s="173" t="s">
        <v>150</v>
      </c>
      <c r="D185" s="173" t="s">
        <v>181</v>
      </c>
      <c r="E185" s="201" t="s">
        <v>25</v>
      </c>
      <c r="F185" s="203"/>
      <c r="G185" s="78">
        <f>G187</f>
        <v>1024.9</v>
      </c>
      <c r="Q185" s="44"/>
    </row>
    <row r="186" spans="1:7" ht="15.75">
      <c r="A186" s="125" t="s">
        <v>382</v>
      </c>
      <c r="B186" s="138"/>
      <c r="C186" s="173" t="s">
        <v>150</v>
      </c>
      <c r="D186" s="173" t="s">
        <v>181</v>
      </c>
      <c r="E186" s="201" t="s">
        <v>341</v>
      </c>
      <c r="F186" s="203"/>
      <c r="G186" s="78">
        <f>G188</f>
        <v>1024.9</v>
      </c>
    </row>
    <row r="187" spans="1:7" ht="15.75">
      <c r="A187" s="112" t="s">
        <v>343</v>
      </c>
      <c r="B187" s="137"/>
      <c r="C187" s="174" t="s">
        <v>150</v>
      </c>
      <c r="D187" s="174" t="s">
        <v>181</v>
      </c>
      <c r="E187" s="200" t="s">
        <v>342</v>
      </c>
      <c r="F187" s="202"/>
      <c r="G187" s="74">
        <f>G189</f>
        <v>1024.9</v>
      </c>
    </row>
    <row r="188" spans="1:7" ht="15.75">
      <c r="A188" s="112" t="s">
        <v>102</v>
      </c>
      <c r="B188" s="137"/>
      <c r="C188" s="174" t="s">
        <v>150</v>
      </c>
      <c r="D188" s="174" t="s">
        <v>181</v>
      </c>
      <c r="E188" s="200" t="s">
        <v>342</v>
      </c>
      <c r="F188" s="202" t="s">
        <v>98</v>
      </c>
      <c r="G188" s="74">
        <f>G189</f>
        <v>1024.9</v>
      </c>
    </row>
    <row r="189" spans="1:17" s="32" customFormat="1" ht="15.75">
      <c r="A189" s="112" t="s">
        <v>97</v>
      </c>
      <c r="B189" s="137"/>
      <c r="C189" s="174" t="s">
        <v>150</v>
      </c>
      <c r="D189" s="174" t="s">
        <v>181</v>
      </c>
      <c r="E189" s="200" t="s">
        <v>342</v>
      </c>
      <c r="F189" s="202" t="s">
        <v>99</v>
      </c>
      <c r="G189" s="74">
        <f>220+785+232.9-213</f>
        <v>1024.9</v>
      </c>
      <c r="Q189" s="44"/>
    </row>
    <row r="190" spans="1:17" s="32" customFormat="1" ht="15.75">
      <c r="A190" s="139" t="s">
        <v>414</v>
      </c>
      <c r="B190" s="140" t="s">
        <v>209</v>
      </c>
      <c r="C190" s="216"/>
      <c r="D190" s="216"/>
      <c r="E190" s="217"/>
      <c r="F190" s="218"/>
      <c r="G190" s="78">
        <f>G191+G211+G218+G233+G226</f>
        <v>76886.4</v>
      </c>
      <c r="Q190" s="44"/>
    </row>
    <row r="191" spans="1:17" s="32" customFormat="1" ht="15.75">
      <c r="A191" s="106" t="s">
        <v>154</v>
      </c>
      <c r="B191" s="141"/>
      <c r="C191" s="173" t="s">
        <v>180</v>
      </c>
      <c r="D191" s="219"/>
      <c r="E191" s="220"/>
      <c r="F191" s="138"/>
      <c r="G191" s="78">
        <f>G192+G198+G206</f>
        <v>10482.5</v>
      </c>
      <c r="Q191" s="44"/>
    </row>
    <row r="192" spans="1:17" s="32" customFormat="1" ht="26.25">
      <c r="A192" s="106" t="s">
        <v>238</v>
      </c>
      <c r="B192" s="141"/>
      <c r="C192" s="173" t="s">
        <v>180</v>
      </c>
      <c r="D192" s="173" t="s">
        <v>196</v>
      </c>
      <c r="E192" s="220"/>
      <c r="F192" s="138"/>
      <c r="G192" s="78">
        <f>G193</f>
        <v>175</v>
      </c>
      <c r="Q192" s="44"/>
    </row>
    <row r="193" spans="1:17" s="32" customFormat="1" ht="15.75">
      <c r="A193" s="106" t="s">
        <v>392</v>
      </c>
      <c r="B193" s="141"/>
      <c r="C193" s="173" t="s">
        <v>180</v>
      </c>
      <c r="D193" s="173" t="s">
        <v>196</v>
      </c>
      <c r="E193" s="221" t="s">
        <v>11</v>
      </c>
      <c r="F193" s="138"/>
      <c r="G193" s="78">
        <f>G194</f>
        <v>175</v>
      </c>
      <c r="Q193" s="44"/>
    </row>
    <row r="194" spans="1:17" s="32" customFormat="1" ht="26.25">
      <c r="A194" s="108" t="s">
        <v>489</v>
      </c>
      <c r="B194" s="141"/>
      <c r="C194" s="173" t="s">
        <v>180</v>
      </c>
      <c r="D194" s="173" t="s">
        <v>196</v>
      </c>
      <c r="E194" s="201" t="s">
        <v>68</v>
      </c>
      <c r="F194" s="138"/>
      <c r="G194" s="78">
        <f>G195</f>
        <v>175</v>
      </c>
      <c r="Q194" s="44"/>
    </row>
    <row r="195" spans="1:7" ht="15.75">
      <c r="A195" s="112" t="s">
        <v>116</v>
      </c>
      <c r="B195" s="141"/>
      <c r="C195" s="174" t="s">
        <v>180</v>
      </c>
      <c r="D195" s="174" t="s">
        <v>196</v>
      </c>
      <c r="E195" s="200" t="s">
        <v>449</v>
      </c>
      <c r="F195" s="138"/>
      <c r="G195" s="74">
        <f>G196</f>
        <v>175</v>
      </c>
    </row>
    <row r="196" spans="1:7" ht="15.75">
      <c r="A196" s="112" t="s">
        <v>203</v>
      </c>
      <c r="B196" s="141"/>
      <c r="C196" s="174" t="s">
        <v>180</v>
      </c>
      <c r="D196" s="174" t="s">
        <v>196</v>
      </c>
      <c r="E196" s="200" t="s">
        <v>449</v>
      </c>
      <c r="F196" s="137">
        <v>500</v>
      </c>
      <c r="G196" s="74">
        <f>G197</f>
        <v>175</v>
      </c>
    </row>
    <row r="197" spans="1:7" ht="15.75">
      <c r="A197" s="112" t="s">
        <v>106</v>
      </c>
      <c r="B197" s="141"/>
      <c r="C197" s="174" t="s">
        <v>180</v>
      </c>
      <c r="D197" s="174" t="s">
        <v>196</v>
      </c>
      <c r="E197" s="200" t="s">
        <v>449</v>
      </c>
      <c r="F197" s="137">
        <v>530</v>
      </c>
      <c r="G197" s="74">
        <v>175</v>
      </c>
    </row>
    <row r="198" spans="1:7" ht="26.25">
      <c r="A198" s="106" t="s">
        <v>177</v>
      </c>
      <c r="B198" s="111"/>
      <c r="C198" s="173" t="s">
        <v>180</v>
      </c>
      <c r="D198" s="173" t="s">
        <v>153</v>
      </c>
      <c r="E198" s="201" t="s">
        <v>201</v>
      </c>
      <c r="F198" s="203"/>
      <c r="G198" s="78">
        <f>G199</f>
        <v>10050.8</v>
      </c>
    </row>
    <row r="199" spans="1:7" ht="15.75">
      <c r="A199" s="106" t="s">
        <v>396</v>
      </c>
      <c r="B199" s="141"/>
      <c r="C199" s="173" t="s">
        <v>180</v>
      </c>
      <c r="D199" s="173" t="s">
        <v>153</v>
      </c>
      <c r="E199" s="221" t="s">
        <v>11</v>
      </c>
      <c r="F199" s="203"/>
      <c r="G199" s="78">
        <f>G200</f>
        <v>10050.8</v>
      </c>
    </row>
    <row r="200" spans="1:7" ht="26.25">
      <c r="A200" s="106" t="s">
        <v>477</v>
      </c>
      <c r="B200" s="141"/>
      <c r="C200" s="173" t="s">
        <v>180</v>
      </c>
      <c r="D200" s="173" t="s">
        <v>153</v>
      </c>
      <c r="E200" s="201" t="s">
        <v>68</v>
      </c>
      <c r="F200" s="203"/>
      <c r="G200" s="78">
        <f>G201</f>
        <v>10050.8</v>
      </c>
    </row>
    <row r="201" spans="1:17" s="39" customFormat="1" ht="15.75">
      <c r="A201" s="112" t="s">
        <v>138</v>
      </c>
      <c r="B201" s="111"/>
      <c r="C201" s="174" t="s">
        <v>180</v>
      </c>
      <c r="D201" s="174" t="s">
        <v>153</v>
      </c>
      <c r="E201" s="200" t="s">
        <v>69</v>
      </c>
      <c r="F201" s="202"/>
      <c r="G201" s="74">
        <f>G202+G204</f>
        <v>10050.8</v>
      </c>
      <c r="Q201" s="5"/>
    </row>
    <row r="202" spans="1:7" ht="25.5">
      <c r="A202" s="110" t="s">
        <v>139</v>
      </c>
      <c r="B202" s="111"/>
      <c r="C202" s="174" t="s">
        <v>180</v>
      </c>
      <c r="D202" s="174" t="s">
        <v>153</v>
      </c>
      <c r="E202" s="200" t="s">
        <v>69</v>
      </c>
      <c r="F202" s="202" t="s">
        <v>228</v>
      </c>
      <c r="G202" s="74">
        <f>G203</f>
        <v>9289.3</v>
      </c>
    </row>
    <row r="203" spans="1:7" ht="15.75">
      <c r="A203" s="110" t="s">
        <v>223</v>
      </c>
      <c r="B203" s="113"/>
      <c r="C203" s="174" t="s">
        <v>180</v>
      </c>
      <c r="D203" s="174" t="s">
        <v>153</v>
      </c>
      <c r="E203" s="200" t="s">
        <v>69</v>
      </c>
      <c r="F203" s="202" t="s">
        <v>224</v>
      </c>
      <c r="G203" s="74">
        <f>7048.3+130+2111</f>
        <v>9289.3</v>
      </c>
    </row>
    <row r="204" spans="1:7" ht="15.75">
      <c r="A204" s="110" t="s">
        <v>264</v>
      </c>
      <c r="B204" s="113"/>
      <c r="C204" s="174" t="s">
        <v>180</v>
      </c>
      <c r="D204" s="174" t="s">
        <v>153</v>
      </c>
      <c r="E204" s="200" t="s">
        <v>69</v>
      </c>
      <c r="F204" s="202" t="s">
        <v>216</v>
      </c>
      <c r="G204" s="74">
        <f>G205</f>
        <v>761.5</v>
      </c>
    </row>
    <row r="205" spans="1:17" s="39" customFormat="1" ht="15.75">
      <c r="A205" s="110" t="s">
        <v>217</v>
      </c>
      <c r="B205" s="113"/>
      <c r="C205" s="174" t="s">
        <v>180</v>
      </c>
      <c r="D205" s="174" t="s">
        <v>153</v>
      </c>
      <c r="E205" s="200" t="s">
        <v>69</v>
      </c>
      <c r="F205" s="202" t="s">
        <v>215</v>
      </c>
      <c r="G205" s="74">
        <v>761.5</v>
      </c>
      <c r="Q205" s="5"/>
    </row>
    <row r="206" spans="1:7" ht="15.75">
      <c r="A206" s="106" t="s">
        <v>187</v>
      </c>
      <c r="B206" s="111"/>
      <c r="C206" s="173" t="s">
        <v>180</v>
      </c>
      <c r="D206" s="173" t="s">
        <v>179</v>
      </c>
      <c r="E206" s="201"/>
      <c r="F206" s="203"/>
      <c r="G206" s="78">
        <f>G207</f>
        <v>256.7</v>
      </c>
    </row>
    <row r="207" spans="1:7" ht="15.75">
      <c r="A207" s="106" t="s">
        <v>393</v>
      </c>
      <c r="B207" s="107"/>
      <c r="C207" s="173" t="s">
        <v>180</v>
      </c>
      <c r="D207" s="173" t="s">
        <v>179</v>
      </c>
      <c r="E207" s="201" t="s">
        <v>70</v>
      </c>
      <c r="F207" s="203"/>
      <c r="G207" s="78">
        <f>G208</f>
        <v>256.7</v>
      </c>
    </row>
    <row r="208" spans="1:7" ht="15.75">
      <c r="A208" s="112" t="s">
        <v>490</v>
      </c>
      <c r="B208" s="142"/>
      <c r="C208" s="174" t="s">
        <v>180</v>
      </c>
      <c r="D208" s="174" t="s">
        <v>179</v>
      </c>
      <c r="E208" s="200" t="s">
        <v>71</v>
      </c>
      <c r="F208" s="137"/>
      <c r="G208" s="74">
        <f>G209</f>
        <v>256.7</v>
      </c>
    </row>
    <row r="209" spans="1:7" ht="15.75">
      <c r="A209" s="112" t="s">
        <v>107</v>
      </c>
      <c r="B209" s="142"/>
      <c r="C209" s="174" t="s">
        <v>180</v>
      </c>
      <c r="D209" s="174" t="s">
        <v>179</v>
      </c>
      <c r="E209" s="200" t="s">
        <v>71</v>
      </c>
      <c r="F209" s="137">
        <v>800</v>
      </c>
      <c r="G209" s="74">
        <f>G210</f>
        <v>256.7</v>
      </c>
    </row>
    <row r="210" spans="1:7" ht="15" customHeight="1">
      <c r="A210" s="112" t="s">
        <v>108</v>
      </c>
      <c r="B210" s="142"/>
      <c r="C210" s="174" t="s">
        <v>180</v>
      </c>
      <c r="D210" s="174" t="s">
        <v>179</v>
      </c>
      <c r="E210" s="200" t="s">
        <v>71</v>
      </c>
      <c r="F210" s="137">
        <v>870</v>
      </c>
      <c r="G210" s="74">
        <v>256.7</v>
      </c>
    </row>
    <row r="211" spans="1:7" ht="15" customHeight="1">
      <c r="A211" s="106" t="s">
        <v>161</v>
      </c>
      <c r="B211" s="111"/>
      <c r="C211" s="173" t="s">
        <v>197</v>
      </c>
      <c r="D211" s="174"/>
      <c r="E211" s="200"/>
      <c r="F211" s="202"/>
      <c r="G211" s="78">
        <f aca="true" t="shared" si="0" ref="G211:G216">G212</f>
        <v>921.2</v>
      </c>
    </row>
    <row r="212" spans="1:7" ht="15.75">
      <c r="A212" s="106" t="s">
        <v>162</v>
      </c>
      <c r="B212" s="111"/>
      <c r="C212" s="173" t="s">
        <v>197</v>
      </c>
      <c r="D212" s="173" t="s">
        <v>181</v>
      </c>
      <c r="E212" s="200"/>
      <c r="F212" s="202"/>
      <c r="G212" s="78">
        <f t="shared" si="0"/>
        <v>921.2</v>
      </c>
    </row>
    <row r="213" spans="1:7" ht="15.75">
      <c r="A213" s="106" t="s">
        <v>392</v>
      </c>
      <c r="B213" s="141"/>
      <c r="C213" s="173" t="s">
        <v>197</v>
      </c>
      <c r="D213" s="173" t="s">
        <v>181</v>
      </c>
      <c r="E213" s="221" t="s">
        <v>11</v>
      </c>
      <c r="F213" s="202"/>
      <c r="G213" s="78">
        <f t="shared" si="0"/>
        <v>921.2</v>
      </c>
    </row>
    <row r="214" spans="1:7" ht="26.25">
      <c r="A214" s="106" t="s">
        <v>489</v>
      </c>
      <c r="B214" s="141"/>
      <c r="C214" s="173" t="s">
        <v>197</v>
      </c>
      <c r="D214" s="173" t="s">
        <v>181</v>
      </c>
      <c r="E214" s="201" t="s">
        <v>68</v>
      </c>
      <c r="F214" s="203"/>
      <c r="G214" s="78">
        <f t="shared" si="0"/>
        <v>921.2</v>
      </c>
    </row>
    <row r="215" spans="1:7" ht="15.75">
      <c r="A215" s="112" t="s">
        <v>118</v>
      </c>
      <c r="B215" s="111"/>
      <c r="C215" s="174" t="s">
        <v>197</v>
      </c>
      <c r="D215" s="174" t="s">
        <v>181</v>
      </c>
      <c r="E215" s="200" t="s">
        <v>73</v>
      </c>
      <c r="F215" s="202"/>
      <c r="G215" s="74">
        <f t="shared" si="0"/>
        <v>921.2</v>
      </c>
    </row>
    <row r="216" spans="1:17" s="39" customFormat="1" ht="15.75">
      <c r="A216" s="112" t="s">
        <v>203</v>
      </c>
      <c r="B216" s="111"/>
      <c r="C216" s="174" t="s">
        <v>197</v>
      </c>
      <c r="D216" s="174" t="s">
        <v>181</v>
      </c>
      <c r="E216" s="200" t="s">
        <v>73</v>
      </c>
      <c r="F216" s="202" t="s">
        <v>204</v>
      </c>
      <c r="G216" s="74">
        <f t="shared" si="0"/>
        <v>921.2</v>
      </c>
      <c r="Q216" s="5"/>
    </row>
    <row r="217" spans="1:17" s="39" customFormat="1" ht="15.75">
      <c r="A217" s="112" t="s">
        <v>106</v>
      </c>
      <c r="B217" s="111"/>
      <c r="C217" s="174" t="s">
        <v>197</v>
      </c>
      <c r="D217" s="174" t="s">
        <v>181</v>
      </c>
      <c r="E217" s="200" t="s">
        <v>73</v>
      </c>
      <c r="F217" s="202" t="s">
        <v>133</v>
      </c>
      <c r="G217" s="74">
        <f>862.5+58.7</f>
        <v>921.2</v>
      </c>
      <c r="Q217" s="5"/>
    </row>
    <row r="218" spans="1:17" s="39" customFormat="1" ht="15.75">
      <c r="A218" s="106" t="s">
        <v>178</v>
      </c>
      <c r="B218" s="137"/>
      <c r="C218" s="173" t="s">
        <v>150</v>
      </c>
      <c r="D218" s="173"/>
      <c r="E218" s="200"/>
      <c r="F218" s="202"/>
      <c r="G218" s="78">
        <f>G219</f>
        <v>1065.7</v>
      </c>
      <c r="Q218" s="5"/>
    </row>
    <row r="219" spans="1:7" ht="15.75">
      <c r="A219" s="106" t="s">
        <v>190</v>
      </c>
      <c r="B219" s="137"/>
      <c r="C219" s="173" t="s">
        <v>150</v>
      </c>
      <c r="D219" s="173" t="s">
        <v>180</v>
      </c>
      <c r="E219" s="201"/>
      <c r="F219" s="203"/>
      <c r="G219" s="78">
        <f>G220</f>
        <v>1065.7</v>
      </c>
    </row>
    <row r="220" spans="1:7" ht="15.75">
      <c r="A220" s="143" t="s">
        <v>26</v>
      </c>
      <c r="B220" s="137"/>
      <c r="C220" s="173" t="s">
        <v>208</v>
      </c>
      <c r="D220" s="173" t="s">
        <v>180</v>
      </c>
      <c r="E220" s="201" t="s">
        <v>27</v>
      </c>
      <c r="F220" s="202"/>
      <c r="G220" s="78">
        <f>G221</f>
        <v>1065.7</v>
      </c>
    </row>
    <row r="221" spans="1:17" s="39" customFormat="1" ht="15.75">
      <c r="A221" s="108" t="s">
        <v>248</v>
      </c>
      <c r="B221" s="137"/>
      <c r="C221" s="174" t="s">
        <v>150</v>
      </c>
      <c r="D221" s="174" t="s">
        <v>180</v>
      </c>
      <c r="E221" s="200" t="s">
        <v>247</v>
      </c>
      <c r="F221" s="202"/>
      <c r="G221" s="78">
        <f>G222+G224</f>
        <v>1065.7</v>
      </c>
      <c r="Q221" s="5"/>
    </row>
    <row r="222" spans="1:17" s="39" customFormat="1" ht="15.75">
      <c r="A222" s="110" t="s">
        <v>264</v>
      </c>
      <c r="B222" s="137"/>
      <c r="C222" s="174" t="s">
        <v>150</v>
      </c>
      <c r="D222" s="174" t="s">
        <v>180</v>
      </c>
      <c r="E222" s="200" t="s">
        <v>247</v>
      </c>
      <c r="F222" s="202" t="s">
        <v>216</v>
      </c>
      <c r="G222" s="74">
        <f>SUM(G223)</f>
        <v>15.7</v>
      </c>
      <c r="Q222" s="5"/>
    </row>
    <row r="223" spans="1:10" ht="15.75" customHeight="1">
      <c r="A223" s="144" t="s">
        <v>217</v>
      </c>
      <c r="B223" s="137"/>
      <c r="C223" s="174" t="s">
        <v>150</v>
      </c>
      <c r="D223" s="174" t="s">
        <v>180</v>
      </c>
      <c r="E223" s="200" t="s">
        <v>247</v>
      </c>
      <c r="F223" s="202" t="s">
        <v>215</v>
      </c>
      <c r="G223" s="74">
        <v>15.7</v>
      </c>
      <c r="H223" s="54">
        <f>H224</f>
        <v>0</v>
      </c>
      <c r="I223" s="54">
        <f>I224</f>
        <v>1078</v>
      </c>
      <c r="J223" s="55"/>
    </row>
    <row r="224" spans="1:10" ht="15" customHeight="1">
      <c r="A224" s="112" t="s">
        <v>102</v>
      </c>
      <c r="B224" s="137"/>
      <c r="C224" s="174" t="s">
        <v>150</v>
      </c>
      <c r="D224" s="174" t="s">
        <v>180</v>
      </c>
      <c r="E224" s="200" t="s">
        <v>247</v>
      </c>
      <c r="F224" s="202" t="s">
        <v>98</v>
      </c>
      <c r="G224" s="74">
        <f>SUM(G225)</f>
        <v>1050</v>
      </c>
      <c r="H224" s="54">
        <f>H225</f>
        <v>0</v>
      </c>
      <c r="I224" s="54">
        <f>I225</f>
        <v>1078</v>
      </c>
      <c r="J224" s="55"/>
    </row>
    <row r="225" spans="1:10" ht="18" customHeight="1">
      <c r="A225" s="112" t="s">
        <v>578</v>
      </c>
      <c r="B225" s="137"/>
      <c r="C225" s="174" t="s">
        <v>150</v>
      </c>
      <c r="D225" s="174" t="s">
        <v>180</v>
      </c>
      <c r="E225" s="200" t="s">
        <v>247</v>
      </c>
      <c r="F225" s="202" t="s">
        <v>577</v>
      </c>
      <c r="G225" s="74">
        <v>1050</v>
      </c>
      <c r="H225" s="54">
        <v>0</v>
      </c>
      <c r="I225" s="29">
        <f>G266-H225</f>
        <v>1078</v>
      </c>
      <c r="J225" s="56"/>
    </row>
    <row r="226" spans="1:17" s="39" customFormat="1" ht="15.75">
      <c r="A226" s="143" t="s">
        <v>134</v>
      </c>
      <c r="B226" s="137"/>
      <c r="C226" s="173" t="s">
        <v>146</v>
      </c>
      <c r="D226" s="173"/>
      <c r="E226" s="201"/>
      <c r="F226" s="203"/>
      <c r="G226" s="78">
        <f aca="true" t="shared" si="1" ref="G226:G231">G227</f>
        <v>3708</v>
      </c>
      <c r="Q226" s="5"/>
    </row>
    <row r="227" spans="1:17" s="39" customFormat="1" ht="15.75">
      <c r="A227" s="143" t="s">
        <v>515</v>
      </c>
      <c r="B227" s="137"/>
      <c r="C227" s="173" t="s">
        <v>146</v>
      </c>
      <c r="D227" s="173" t="s">
        <v>180</v>
      </c>
      <c r="E227" s="201"/>
      <c r="F227" s="203"/>
      <c r="G227" s="78">
        <f t="shared" si="1"/>
        <v>3708</v>
      </c>
      <c r="Q227" s="5"/>
    </row>
    <row r="228" spans="1:7" ht="15.75">
      <c r="A228" s="106" t="s">
        <v>392</v>
      </c>
      <c r="B228" s="141"/>
      <c r="C228" s="173" t="s">
        <v>146</v>
      </c>
      <c r="D228" s="173" t="s">
        <v>180</v>
      </c>
      <c r="E228" s="221" t="s">
        <v>11</v>
      </c>
      <c r="F228" s="202"/>
      <c r="G228" s="78">
        <f t="shared" si="1"/>
        <v>3708</v>
      </c>
    </row>
    <row r="229" spans="1:7" ht="15.75">
      <c r="A229" s="106" t="s">
        <v>394</v>
      </c>
      <c r="B229" s="137"/>
      <c r="C229" s="173" t="s">
        <v>146</v>
      </c>
      <c r="D229" s="173" t="s">
        <v>180</v>
      </c>
      <c r="E229" s="201" t="s">
        <v>66</v>
      </c>
      <c r="F229" s="203"/>
      <c r="G229" s="78">
        <f t="shared" si="1"/>
        <v>3708</v>
      </c>
    </row>
    <row r="230" spans="1:7" ht="15.75">
      <c r="A230" s="112" t="s">
        <v>120</v>
      </c>
      <c r="B230" s="137"/>
      <c r="C230" s="174" t="s">
        <v>146</v>
      </c>
      <c r="D230" s="174" t="s">
        <v>180</v>
      </c>
      <c r="E230" s="200" t="s">
        <v>65</v>
      </c>
      <c r="F230" s="202"/>
      <c r="G230" s="74">
        <f t="shared" si="1"/>
        <v>3708</v>
      </c>
    </row>
    <row r="231" spans="1:7" ht="15.75">
      <c r="A231" s="112" t="s">
        <v>134</v>
      </c>
      <c r="B231" s="137"/>
      <c r="C231" s="174" t="s">
        <v>146</v>
      </c>
      <c r="D231" s="174" t="s">
        <v>180</v>
      </c>
      <c r="E231" s="200" t="s">
        <v>65</v>
      </c>
      <c r="F231" s="202" t="s">
        <v>136</v>
      </c>
      <c r="G231" s="74">
        <f t="shared" si="1"/>
        <v>3708</v>
      </c>
    </row>
    <row r="232" spans="1:7" ht="15.75">
      <c r="A232" s="112" t="s">
        <v>135</v>
      </c>
      <c r="B232" s="137"/>
      <c r="C232" s="174" t="s">
        <v>146</v>
      </c>
      <c r="D232" s="174" t="s">
        <v>180</v>
      </c>
      <c r="E232" s="200" t="s">
        <v>65</v>
      </c>
      <c r="F232" s="202" t="s">
        <v>137</v>
      </c>
      <c r="G232" s="74">
        <v>3708</v>
      </c>
    </row>
    <row r="233" spans="1:7" ht="15.75">
      <c r="A233" s="125" t="s">
        <v>268</v>
      </c>
      <c r="B233" s="137"/>
      <c r="C233" s="173" t="s">
        <v>185</v>
      </c>
      <c r="D233" s="173"/>
      <c r="E233" s="200"/>
      <c r="F233" s="202"/>
      <c r="G233" s="78">
        <f>G234+G249+G243</f>
        <v>60709</v>
      </c>
    </row>
    <row r="234" spans="1:17" s="39" customFormat="1" ht="15.75">
      <c r="A234" s="125" t="s">
        <v>103</v>
      </c>
      <c r="B234" s="138"/>
      <c r="C234" s="173" t="s">
        <v>185</v>
      </c>
      <c r="D234" s="173" t="s">
        <v>180</v>
      </c>
      <c r="E234" s="201"/>
      <c r="F234" s="203"/>
      <c r="G234" s="78">
        <f>G235</f>
        <v>40767.7</v>
      </c>
      <c r="Q234" s="5"/>
    </row>
    <row r="235" spans="1:7" ht="15.75">
      <c r="A235" s="106" t="s">
        <v>378</v>
      </c>
      <c r="B235" s="113"/>
      <c r="C235" s="173" t="s">
        <v>185</v>
      </c>
      <c r="D235" s="173" t="s">
        <v>180</v>
      </c>
      <c r="E235" s="221" t="s">
        <v>11</v>
      </c>
      <c r="F235" s="203"/>
      <c r="G235" s="78">
        <f>G236</f>
        <v>40767.7</v>
      </c>
    </row>
    <row r="236" spans="1:7" ht="15.75">
      <c r="A236" s="125" t="s">
        <v>121</v>
      </c>
      <c r="B236" s="138"/>
      <c r="C236" s="173" t="s">
        <v>185</v>
      </c>
      <c r="D236" s="173" t="s">
        <v>180</v>
      </c>
      <c r="E236" s="201" t="s">
        <v>39</v>
      </c>
      <c r="F236" s="203"/>
      <c r="G236" s="78">
        <f>G240+G237</f>
        <v>40767.7</v>
      </c>
    </row>
    <row r="237" spans="1:7" ht="15.75">
      <c r="A237" s="112" t="s">
        <v>329</v>
      </c>
      <c r="B237" s="137"/>
      <c r="C237" s="174" t="s">
        <v>185</v>
      </c>
      <c r="D237" s="174" t="s">
        <v>180</v>
      </c>
      <c r="E237" s="200" t="s">
        <v>285</v>
      </c>
      <c r="F237" s="202"/>
      <c r="G237" s="74">
        <f>G238</f>
        <v>33678.7</v>
      </c>
    </row>
    <row r="238" spans="1:9" ht="15.75">
      <c r="A238" s="112" t="s">
        <v>203</v>
      </c>
      <c r="B238" s="138"/>
      <c r="C238" s="174" t="s">
        <v>185</v>
      </c>
      <c r="D238" s="174" t="s">
        <v>180</v>
      </c>
      <c r="E238" s="200" t="s">
        <v>285</v>
      </c>
      <c r="F238" s="202" t="s">
        <v>204</v>
      </c>
      <c r="G238" s="74">
        <f>SUM(G239:G239)</f>
        <v>33678.7</v>
      </c>
      <c r="H238" s="13"/>
      <c r="I238" s="13"/>
    </row>
    <row r="239" spans="1:9" ht="15.75">
      <c r="A239" s="112" t="s">
        <v>104</v>
      </c>
      <c r="B239" s="137"/>
      <c r="C239" s="174" t="s">
        <v>185</v>
      </c>
      <c r="D239" s="174" t="s">
        <v>180</v>
      </c>
      <c r="E239" s="200" t="s">
        <v>285</v>
      </c>
      <c r="F239" s="202" t="s">
        <v>105</v>
      </c>
      <c r="G239" s="74">
        <v>33678.7</v>
      </c>
      <c r="H239" s="13"/>
      <c r="I239" s="13"/>
    </row>
    <row r="240" spans="1:7" ht="15.75">
      <c r="A240" s="112" t="s">
        <v>526</v>
      </c>
      <c r="B240" s="137"/>
      <c r="C240" s="174" t="s">
        <v>185</v>
      </c>
      <c r="D240" s="174" t="s">
        <v>180</v>
      </c>
      <c r="E240" s="200" t="s">
        <v>12</v>
      </c>
      <c r="F240" s="202"/>
      <c r="G240" s="74">
        <f>G241</f>
        <v>7089</v>
      </c>
    </row>
    <row r="241" spans="1:7" ht="21.75" customHeight="1">
      <c r="A241" s="112" t="s">
        <v>203</v>
      </c>
      <c r="B241" s="138"/>
      <c r="C241" s="174" t="s">
        <v>185</v>
      </c>
      <c r="D241" s="174" t="s">
        <v>180</v>
      </c>
      <c r="E241" s="200" t="s">
        <v>12</v>
      </c>
      <c r="F241" s="202" t="s">
        <v>204</v>
      </c>
      <c r="G241" s="74">
        <f>SUM(G242:G242)</f>
        <v>7089</v>
      </c>
    </row>
    <row r="242" spans="1:7" ht="15.75">
      <c r="A242" s="112" t="s">
        <v>104</v>
      </c>
      <c r="B242" s="137"/>
      <c r="C242" s="174" t="s">
        <v>185</v>
      </c>
      <c r="D242" s="174" t="s">
        <v>180</v>
      </c>
      <c r="E242" s="200" t="s">
        <v>12</v>
      </c>
      <c r="F242" s="202" t="s">
        <v>105</v>
      </c>
      <c r="G242" s="74">
        <v>7089</v>
      </c>
    </row>
    <row r="243" spans="1:7" ht="15.75">
      <c r="A243" s="125" t="s">
        <v>683</v>
      </c>
      <c r="B243" s="138"/>
      <c r="C243" s="173" t="s">
        <v>185</v>
      </c>
      <c r="D243" s="173" t="s">
        <v>197</v>
      </c>
      <c r="E243" s="201"/>
      <c r="F243" s="203"/>
      <c r="G243" s="78">
        <f>G244</f>
        <v>605.2</v>
      </c>
    </row>
    <row r="244" spans="1:7" ht="18.75" customHeight="1">
      <c r="A244" s="106" t="s">
        <v>378</v>
      </c>
      <c r="B244" s="113"/>
      <c r="C244" s="173" t="s">
        <v>185</v>
      </c>
      <c r="D244" s="173" t="s">
        <v>197</v>
      </c>
      <c r="E244" s="221" t="s">
        <v>11</v>
      </c>
      <c r="F244" s="203"/>
      <c r="G244" s="78">
        <f>G245</f>
        <v>605.2</v>
      </c>
    </row>
    <row r="245" spans="1:7" ht="15.75">
      <c r="A245" s="125" t="s">
        <v>121</v>
      </c>
      <c r="B245" s="138"/>
      <c r="C245" s="173" t="s">
        <v>185</v>
      </c>
      <c r="D245" s="173" t="s">
        <v>197</v>
      </c>
      <c r="E245" s="201" t="s">
        <v>39</v>
      </c>
      <c r="F245" s="203"/>
      <c r="G245" s="78">
        <f>G246</f>
        <v>605.2</v>
      </c>
    </row>
    <row r="246" spans="1:17" ht="15.75">
      <c r="A246" s="112" t="s">
        <v>329</v>
      </c>
      <c r="B246" s="137"/>
      <c r="C246" s="174" t="s">
        <v>185</v>
      </c>
      <c r="D246" s="174" t="s">
        <v>197</v>
      </c>
      <c r="E246" s="200" t="s">
        <v>682</v>
      </c>
      <c r="F246" s="202"/>
      <c r="G246" s="74">
        <f>G247</f>
        <v>605.2</v>
      </c>
      <c r="Q246" s="68">
        <f>G246+G286+G370+G430+G444</f>
        <v>7211.5</v>
      </c>
    </row>
    <row r="247" spans="1:17" s="36" customFormat="1" ht="15.75">
      <c r="A247" s="112" t="s">
        <v>203</v>
      </c>
      <c r="B247" s="138"/>
      <c r="C247" s="174" t="s">
        <v>185</v>
      </c>
      <c r="D247" s="174" t="s">
        <v>197</v>
      </c>
      <c r="E247" s="200" t="s">
        <v>682</v>
      </c>
      <c r="F247" s="202" t="s">
        <v>204</v>
      </c>
      <c r="G247" s="74">
        <f>SUM(G248:G248)</f>
        <v>605.2</v>
      </c>
      <c r="Q247" s="43"/>
    </row>
    <row r="248" spans="1:17" s="36" customFormat="1" ht="15.75">
      <c r="A248" s="112" t="s">
        <v>104</v>
      </c>
      <c r="B248" s="137"/>
      <c r="C248" s="174" t="s">
        <v>185</v>
      </c>
      <c r="D248" s="174" t="s">
        <v>197</v>
      </c>
      <c r="E248" s="200" t="s">
        <v>682</v>
      </c>
      <c r="F248" s="202" t="s">
        <v>105</v>
      </c>
      <c r="G248" s="74">
        <v>605.2</v>
      </c>
      <c r="Q248" s="43"/>
    </row>
    <row r="249" spans="1:17" s="36" customFormat="1" ht="15.75">
      <c r="A249" s="134" t="s">
        <v>191</v>
      </c>
      <c r="B249" s="137"/>
      <c r="C249" s="173" t="s">
        <v>185</v>
      </c>
      <c r="D249" s="173" t="s">
        <v>181</v>
      </c>
      <c r="E249" s="201"/>
      <c r="F249" s="203"/>
      <c r="G249" s="78">
        <f>G250</f>
        <v>19336.100000000002</v>
      </c>
      <c r="Q249" s="43"/>
    </row>
    <row r="250" spans="1:17" s="36" customFormat="1" ht="15.75">
      <c r="A250" s="106" t="s">
        <v>378</v>
      </c>
      <c r="B250" s="113"/>
      <c r="C250" s="173" t="s">
        <v>185</v>
      </c>
      <c r="D250" s="173" t="s">
        <v>181</v>
      </c>
      <c r="E250" s="221" t="s">
        <v>11</v>
      </c>
      <c r="F250" s="203"/>
      <c r="G250" s="78">
        <f>G251</f>
        <v>19336.100000000002</v>
      </c>
      <c r="Q250" s="43"/>
    </row>
    <row r="251" spans="1:17" s="36" customFormat="1" ht="15.75">
      <c r="A251" s="125" t="s">
        <v>121</v>
      </c>
      <c r="B251" s="138"/>
      <c r="C251" s="173" t="s">
        <v>185</v>
      </c>
      <c r="D251" s="173" t="s">
        <v>181</v>
      </c>
      <c r="E251" s="201" t="s">
        <v>39</v>
      </c>
      <c r="F251" s="203"/>
      <c r="G251" s="78">
        <f>G252</f>
        <v>19336.100000000002</v>
      </c>
      <c r="Q251" s="43"/>
    </row>
    <row r="252" spans="1:7" ht="18" customHeight="1">
      <c r="A252" s="112" t="s">
        <v>122</v>
      </c>
      <c r="B252" s="137"/>
      <c r="C252" s="174" t="s">
        <v>185</v>
      </c>
      <c r="D252" s="173" t="s">
        <v>181</v>
      </c>
      <c r="E252" s="200" t="s">
        <v>40</v>
      </c>
      <c r="F252" s="202"/>
      <c r="G252" s="74">
        <f>G253</f>
        <v>19336.100000000002</v>
      </c>
    </row>
    <row r="253" spans="1:7" ht="15.75">
      <c r="A253" s="144" t="s">
        <v>203</v>
      </c>
      <c r="B253" s="111"/>
      <c r="C253" s="174" t="s">
        <v>185</v>
      </c>
      <c r="D253" s="174" t="s">
        <v>181</v>
      </c>
      <c r="E253" s="200" t="s">
        <v>40</v>
      </c>
      <c r="F253" s="202" t="s">
        <v>204</v>
      </c>
      <c r="G253" s="74">
        <f>G254</f>
        <v>19336.100000000002</v>
      </c>
    </row>
    <row r="254" spans="1:10" ht="18.75" customHeight="1">
      <c r="A254" s="144" t="s">
        <v>219</v>
      </c>
      <c r="B254" s="137"/>
      <c r="C254" s="174" t="s">
        <v>185</v>
      </c>
      <c r="D254" s="174" t="s">
        <v>181</v>
      </c>
      <c r="E254" s="200" t="s">
        <v>40</v>
      </c>
      <c r="F254" s="202" t="s">
        <v>218</v>
      </c>
      <c r="G254" s="74">
        <f>17780.9+294.2+575.3+535.7+150</f>
        <v>19336.100000000002</v>
      </c>
      <c r="H254" s="54">
        <f>H255</f>
        <v>0</v>
      </c>
      <c r="I254" s="54" t="e">
        <f>I255</f>
        <v>#REF!</v>
      </c>
      <c r="J254" s="55"/>
    </row>
    <row r="255" spans="1:10" ht="15" customHeight="1">
      <c r="A255" s="139" t="s">
        <v>415</v>
      </c>
      <c r="B255" s="140" t="s">
        <v>211</v>
      </c>
      <c r="C255" s="222"/>
      <c r="D255" s="222"/>
      <c r="E255" s="223"/>
      <c r="F255" s="222"/>
      <c r="G255" s="78">
        <f>G256</f>
        <v>2550.5</v>
      </c>
      <c r="H255" s="54">
        <f>H256</f>
        <v>0</v>
      </c>
      <c r="I255" s="54" t="e">
        <f>I256</f>
        <v>#REF!</v>
      </c>
      <c r="J255" s="55"/>
    </row>
    <row r="256" spans="1:10" ht="22.5" customHeight="1">
      <c r="A256" s="106" t="s">
        <v>154</v>
      </c>
      <c r="B256" s="107"/>
      <c r="C256" s="173" t="s">
        <v>180</v>
      </c>
      <c r="D256" s="174"/>
      <c r="E256" s="200" t="s">
        <v>201</v>
      </c>
      <c r="F256" s="174"/>
      <c r="G256" s="78">
        <f>G257</f>
        <v>2550.5</v>
      </c>
      <c r="H256" s="54">
        <v>0</v>
      </c>
      <c r="I256" s="29" t="e">
        <f>#REF!-H256</f>
        <v>#REF!</v>
      </c>
      <c r="J256" s="56"/>
    </row>
    <row r="257" spans="1:10" ht="26.25" customHeight="1">
      <c r="A257" s="106" t="s">
        <v>175</v>
      </c>
      <c r="B257" s="137"/>
      <c r="C257" s="173" t="s">
        <v>180</v>
      </c>
      <c r="D257" s="173" t="s">
        <v>181</v>
      </c>
      <c r="E257" s="201" t="s">
        <v>201</v>
      </c>
      <c r="F257" s="224"/>
      <c r="G257" s="98">
        <f>G258</f>
        <v>2550.5</v>
      </c>
      <c r="H257" s="54">
        <f>H258</f>
        <v>0</v>
      </c>
      <c r="I257" s="54">
        <f>I258</f>
        <v>2200</v>
      </c>
      <c r="J257" s="55"/>
    </row>
    <row r="258" spans="1:10" ht="15" customHeight="1">
      <c r="A258" s="106" t="s">
        <v>491</v>
      </c>
      <c r="B258" s="137"/>
      <c r="C258" s="173" t="s">
        <v>180</v>
      </c>
      <c r="D258" s="173" t="s">
        <v>181</v>
      </c>
      <c r="E258" s="201" t="s">
        <v>74</v>
      </c>
      <c r="F258" s="224"/>
      <c r="G258" s="98">
        <f>G259+G263</f>
        <v>2550.5</v>
      </c>
      <c r="H258" s="54">
        <f>H259</f>
        <v>0</v>
      </c>
      <c r="I258" s="54">
        <f>I259</f>
        <v>2200</v>
      </c>
      <c r="J258" s="55"/>
    </row>
    <row r="259" spans="1:10" ht="22.5" customHeight="1">
      <c r="A259" s="106" t="s">
        <v>492</v>
      </c>
      <c r="B259" s="138"/>
      <c r="C259" s="173" t="s">
        <v>180</v>
      </c>
      <c r="D259" s="173" t="s">
        <v>181</v>
      </c>
      <c r="E259" s="201" t="s">
        <v>75</v>
      </c>
      <c r="F259" s="224"/>
      <c r="G259" s="98">
        <f>G260</f>
        <v>1242.5</v>
      </c>
      <c r="H259" s="54">
        <v>0</v>
      </c>
      <c r="I259" s="29">
        <f>G300-H259</f>
        <v>2200</v>
      </c>
      <c r="J259" s="56"/>
    </row>
    <row r="260" spans="1:10" ht="15.75">
      <c r="A260" s="112" t="s">
        <v>123</v>
      </c>
      <c r="B260" s="137"/>
      <c r="C260" s="174" t="s">
        <v>180</v>
      </c>
      <c r="D260" s="174" t="s">
        <v>181</v>
      </c>
      <c r="E260" s="200" t="s">
        <v>76</v>
      </c>
      <c r="F260" s="225"/>
      <c r="G260" s="99">
        <f>G261</f>
        <v>1242.5</v>
      </c>
      <c r="H260" s="29">
        <f>H261</f>
        <v>0</v>
      </c>
      <c r="I260" s="29">
        <f>I261</f>
        <v>1622.8</v>
      </c>
      <c r="J260" s="55"/>
    </row>
    <row r="261" spans="1:10" ht="25.5">
      <c r="A261" s="110" t="s">
        <v>139</v>
      </c>
      <c r="B261" s="137"/>
      <c r="C261" s="174" t="s">
        <v>180</v>
      </c>
      <c r="D261" s="174" t="s">
        <v>181</v>
      </c>
      <c r="E261" s="200" t="s">
        <v>76</v>
      </c>
      <c r="F261" s="202" t="s">
        <v>228</v>
      </c>
      <c r="G261" s="99">
        <f>G262</f>
        <v>1242.5</v>
      </c>
      <c r="H261" s="29">
        <f>H262</f>
        <v>0</v>
      </c>
      <c r="I261" s="29">
        <f>I262</f>
        <v>1622.8</v>
      </c>
      <c r="J261" s="55"/>
    </row>
    <row r="262" spans="1:10" ht="15.75">
      <c r="A262" s="110" t="s">
        <v>223</v>
      </c>
      <c r="B262" s="137"/>
      <c r="C262" s="174" t="s">
        <v>180</v>
      </c>
      <c r="D262" s="174" t="s">
        <v>181</v>
      </c>
      <c r="E262" s="200" t="s">
        <v>76</v>
      </c>
      <c r="F262" s="202" t="s">
        <v>224</v>
      </c>
      <c r="G262" s="74">
        <f>954.3+288.2</f>
        <v>1242.5</v>
      </c>
      <c r="H262" s="29">
        <v>0</v>
      </c>
      <c r="I262" s="29">
        <f>G303-H262</f>
        <v>1622.8</v>
      </c>
      <c r="J262" s="55"/>
    </row>
    <row r="263" spans="1:7" ht="15.75">
      <c r="A263" s="114" t="s">
        <v>415</v>
      </c>
      <c r="B263" s="138"/>
      <c r="C263" s="173" t="s">
        <v>180</v>
      </c>
      <c r="D263" s="173" t="s">
        <v>181</v>
      </c>
      <c r="E263" s="201" t="s">
        <v>77</v>
      </c>
      <c r="F263" s="203"/>
      <c r="G263" s="78">
        <f>G264</f>
        <v>1308</v>
      </c>
    </row>
    <row r="264" spans="1:7" ht="15.75">
      <c r="A264" s="112" t="s">
        <v>123</v>
      </c>
      <c r="B264" s="137"/>
      <c r="C264" s="174" t="s">
        <v>180</v>
      </c>
      <c r="D264" s="174" t="s">
        <v>181</v>
      </c>
      <c r="E264" s="200" t="s">
        <v>78</v>
      </c>
      <c r="F264" s="225"/>
      <c r="G264" s="99">
        <f>G265+G267</f>
        <v>1308</v>
      </c>
    </row>
    <row r="265" spans="1:7" ht="25.5">
      <c r="A265" s="110" t="s">
        <v>139</v>
      </c>
      <c r="B265" s="137"/>
      <c r="C265" s="174" t="s">
        <v>180</v>
      </c>
      <c r="D265" s="174" t="s">
        <v>181</v>
      </c>
      <c r="E265" s="200" t="s">
        <v>78</v>
      </c>
      <c r="F265" s="202" t="s">
        <v>228</v>
      </c>
      <c r="G265" s="99">
        <f>G266</f>
        <v>1078</v>
      </c>
    </row>
    <row r="266" spans="1:7" ht="15.75">
      <c r="A266" s="110" t="s">
        <v>223</v>
      </c>
      <c r="B266" s="137"/>
      <c r="C266" s="174" t="s">
        <v>180</v>
      </c>
      <c r="D266" s="174" t="s">
        <v>181</v>
      </c>
      <c r="E266" s="200" t="s">
        <v>78</v>
      </c>
      <c r="F266" s="202" t="s">
        <v>224</v>
      </c>
      <c r="G266" s="74">
        <v>1078</v>
      </c>
    </row>
    <row r="267" spans="1:7" ht="15.75">
      <c r="A267" s="110" t="s">
        <v>264</v>
      </c>
      <c r="B267" s="113"/>
      <c r="C267" s="174" t="s">
        <v>180</v>
      </c>
      <c r="D267" s="174" t="s">
        <v>181</v>
      </c>
      <c r="E267" s="200" t="s">
        <v>78</v>
      </c>
      <c r="F267" s="202" t="s">
        <v>216</v>
      </c>
      <c r="G267" s="74">
        <f>G268</f>
        <v>230</v>
      </c>
    </row>
    <row r="268" spans="1:7" ht="15.75">
      <c r="A268" s="144" t="s">
        <v>217</v>
      </c>
      <c r="B268" s="113"/>
      <c r="C268" s="174" t="s">
        <v>180</v>
      </c>
      <c r="D268" s="174" t="s">
        <v>181</v>
      </c>
      <c r="E268" s="200" t="s">
        <v>78</v>
      </c>
      <c r="F268" s="202" t="s">
        <v>215</v>
      </c>
      <c r="G268" s="74">
        <v>230</v>
      </c>
    </row>
    <row r="269" spans="1:7" ht="15.75">
      <c r="A269" s="139" t="s">
        <v>416</v>
      </c>
      <c r="B269" s="140" t="s">
        <v>200</v>
      </c>
      <c r="C269" s="222"/>
      <c r="D269" s="222"/>
      <c r="E269" s="223"/>
      <c r="F269" s="222"/>
      <c r="G269" s="78">
        <f>G270+G494</f>
        <v>896546.3010000002</v>
      </c>
    </row>
    <row r="270" spans="1:7" ht="15.75">
      <c r="A270" s="106" t="s">
        <v>192</v>
      </c>
      <c r="B270" s="111"/>
      <c r="C270" s="173" t="s">
        <v>152</v>
      </c>
      <c r="D270" s="174"/>
      <c r="E270" s="200"/>
      <c r="F270" s="202"/>
      <c r="G270" s="98">
        <f>G271+G311+G407+G454+G481</f>
        <v>867389.0010000002</v>
      </c>
    </row>
    <row r="271" spans="1:7" ht="15.75">
      <c r="A271" s="106" t="s">
        <v>174</v>
      </c>
      <c r="B271" s="111"/>
      <c r="C271" s="173" t="s">
        <v>152</v>
      </c>
      <c r="D271" s="173" t="s">
        <v>180</v>
      </c>
      <c r="E271" s="200"/>
      <c r="F271" s="202"/>
      <c r="G271" s="98">
        <f>G272+G307</f>
        <v>238413.199</v>
      </c>
    </row>
    <row r="272" spans="1:7" ht="15.75">
      <c r="A272" s="106" t="s">
        <v>434</v>
      </c>
      <c r="B272" s="107"/>
      <c r="C272" s="173" t="s">
        <v>152</v>
      </c>
      <c r="D272" s="173" t="s">
        <v>180</v>
      </c>
      <c r="E272" s="201" t="s">
        <v>13</v>
      </c>
      <c r="F272" s="203"/>
      <c r="G272" s="98">
        <f>G273</f>
        <v>237973.748</v>
      </c>
    </row>
    <row r="273" spans="1:7" ht="15.75">
      <c r="A273" s="145" t="s">
        <v>440</v>
      </c>
      <c r="B273" s="121"/>
      <c r="C273" s="153" t="s">
        <v>152</v>
      </c>
      <c r="D273" s="153" t="s">
        <v>180</v>
      </c>
      <c r="E273" s="206" t="s">
        <v>14</v>
      </c>
      <c r="F273" s="207"/>
      <c r="G273" s="98">
        <f>G274+G277+G280+G283+G286+G289+G292+G295+G301+G304+G298</f>
        <v>237973.748</v>
      </c>
    </row>
    <row r="274" spans="1:7" ht="15.75">
      <c r="A274" s="146" t="s">
        <v>125</v>
      </c>
      <c r="B274" s="123"/>
      <c r="C274" s="152" t="s">
        <v>152</v>
      </c>
      <c r="D274" s="152" t="s">
        <v>180</v>
      </c>
      <c r="E274" s="210" t="s">
        <v>30</v>
      </c>
      <c r="F274" s="208"/>
      <c r="G274" s="99">
        <f>G275</f>
        <v>93491.853</v>
      </c>
    </row>
    <row r="275" spans="1:7" ht="15.75">
      <c r="A275" s="147" t="s">
        <v>220</v>
      </c>
      <c r="B275" s="123"/>
      <c r="C275" s="152" t="s">
        <v>152</v>
      </c>
      <c r="D275" s="152" t="s">
        <v>180</v>
      </c>
      <c r="E275" s="210" t="s">
        <v>30</v>
      </c>
      <c r="F275" s="208" t="s">
        <v>206</v>
      </c>
      <c r="G275" s="99">
        <f>G276</f>
        <v>93491.853</v>
      </c>
    </row>
    <row r="276" spans="1:7" ht="15.75">
      <c r="A276" s="148" t="s">
        <v>221</v>
      </c>
      <c r="B276" s="123"/>
      <c r="C276" s="152" t="s">
        <v>152</v>
      </c>
      <c r="D276" s="152" t="s">
        <v>180</v>
      </c>
      <c r="E276" s="210" t="s">
        <v>30</v>
      </c>
      <c r="F276" s="208" t="s">
        <v>222</v>
      </c>
      <c r="G276" s="99">
        <v>93491.853</v>
      </c>
    </row>
    <row r="277" spans="1:7" ht="15.75">
      <c r="A277" s="130" t="s">
        <v>253</v>
      </c>
      <c r="B277" s="123"/>
      <c r="C277" s="152" t="s">
        <v>152</v>
      </c>
      <c r="D277" s="152" t="s">
        <v>180</v>
      </c>
      <c r="E277" s="210" t="s">
        <v>254</v>
      </c>
      <c r="F277" s="208"/>
      <c r="G277" s="99">
        <f>G278</f>
        <v>610.056</v>
      </c>
    </row>
    <row r="278" spans="1:7" ht="15.75">
      <c r="A278" s="147" t="s">
        <v>220</v>
      </c>
      <c r="B278" s="123"/>
      <c r="C278" s="152" t="s">
        <v>152</v>
      </c>
      <c r="D278" s="152" t="s">
        <v>180</v>
      </c>
      <c r="E278" s="210" t="s">
        <v>254</v>
      </c>
      <c r="F278" s="208" t="s">
        <v>206</v>
      </c>
      <c r="G278" s="99">
        <f>G279</f>
        <v>610.056</v>
      </c>
    </row>
    <row r="279" spans="1:7" ht="15.75">
      <c r="A279" s="148" t="s">
        <v>221</v>
      </c>
      <c r="B279" s="123"/>
      <c r="C279" s="152" t="s">
        <v>152</v>
      </c>
      <c r="D279" s="152" t="s">
        <v>180</v>
      </c>
      <c r="E279" s="210" t="s">
        <v>254</v>
      </c>
      <c r="F279" s="208" t="s">
        <v>222</v>
      </c>
      <c r="G279" s="99">
        <v>610.056</v>
      </c>
    </row>
    <row r="280" spans="1:7" ht="15.75">
      <c r="A280" s="151" t="s">
        <v>8</v>
      </c>
      <c r="B280" s="123"/>
      <c r="C280" s="152" t="s">
        <v>152</v>
      </c>
      <c r="D280" s="152" t="s">
        <v>180</v>
      </c>
      <c r="E280" s="208" t="s">
        <v>667</v>
      </c>
      <c r="F280" s="208"/>
      <c r="G280" s="99">
        <f>G281</f>
        <v>774.887</v>
      </c>
    </row>
    <row r="281" spans="1:17" s="13" customFormat="1" ht="15.75">
      <c r="A281" s="151" t="s">
        <v>220</v>
      </c>
      <c r="B281" s="123"/>
      <c r="C281" s="152" t="s">
        <v>152</v>
      </c>
      <c r="D281" s="152" t="s">
        <v>180</v>
      </c>
      <c r="E281" s="208" t="s">
        <v>667</v>
      </c>
      <c r="F281" s="208" t="s">
        <v>206</v>
      </c>
      <c r="G281" s="99">
        <f>G282</f>
        <v>774.887</v>
      </c>
      <c r="Q281" s="69"/>
    </row>
    <row r="282" spans="1:7" ht="15.75" customHeight="1">
      <c r="A282" s="151" t="s">
        <v>221</v>
      </c>
      <c r="B282" s="123"/>
      <c r="C282" s="152" t="s">
        <v>152</v>
      </c>
      <c r="D282" s="152" t="s">
        <v>180</v>
      </c>
      <c r="E282" s="208" t="s">
        <v>667</v>
      </c>
      <c r="F282" s="208" t="s">
        <v>222</v>
      </c>
      <c r="G282" s="99">
        <v>774.887</v>
      </c>
    </row>
    <row r="283" spans="1:7" ht="15.75">
      <c r="A283" s="130" t="s">
        <v>323</v>
      </c>
      <c r="B283" s="149"/>
      <c r="C283" s="152" t="s">
        <v>152</v>
      </c>
      <c r="D283" s="152" t="s">
        <v>180</v>
      </c>
      <c r="E283" s="210" t="s">
        <v>28</v>
      </c>
      <c r="F283" s="208"/>
      <c r="G283" s="99">
        <f>G284</f>
        <v>460.4</v>
      </c>
    </row>
    <row r="284" spans="1:7" ht="15.75">
      <c r="A284" s="147" t="s">
        <v>220</v>
      </c>
      <c r="B284" s="149"/>
      <c r="C284" s="152" t="s">
        <v>152</v>
      </c>
      <c r="D284" s="152" t="s">
        <v>180</v>
      </c>
      <c r="E284" s="210" t="s">
        <v>28</v>
      </c>
      <c r="F284" s="208" t="s">
        <v>206</v>
      </c>
      <c r="G284" s="99">
        <f>G285</f>
        <v>460.4</v>
      </c>
    </row>
    <row r="285" spans="1:7" ht="15.75">
      <c r="A285" s="148" t="s">
        <v>221</v>
      </c>
      <c r="B285" s="149"/>
      <c r="C285" s="152" t="s">
        <v>152</v>
      </c>
      <c r="D285" s="152" t="s">
        <v>180</v>
      </c>
      <c r="E285" s="210" t="s">
        <v>28</v>
      </c>
      <c r="F285" s="208" t="s">
        <v>222</v>
      </c>
      <c r="G285" s="99">
        <v>460.4</v>
      </c>
    </row>
    <row r="286" spans="1:7" ht="15.75">
      <c r="A286" s="130" t="s">
        <v>324</v>
      </c>
      <c r="B286" s="149"/>
      <c r="C286" s="152" t="s">
        <v>152</v>
      </c>
      <c r="D286" s="152" t="s">
        <v>180</v>
      </c>
      <c r="E286" s="210" t="s">
        <v>29</v>
      </c>
      <c r="F286" s="208"/>
      <c r="G286" s="99">
        <f>G287</f>
        <v>99.7</v>
      </c>
    </row>
    <row r="287" spans="1:7" ht="15.75">
      <c r="A287" s="147" t="s">
        <v>220</v>
      </c>
      <c r="B287" s="149"/>
      <c r="C287" s="152" t="s">
        <v>152</v>
      </c>
      <c r="D287" s="152" t="s">
        <v>180</v>
      </c>
      <c r="E287" s="210" t="s">
        <v>29</v>
      </c>
      <c r="F287" s="208" t="s">
        <v>206</v>
      </c>
      <c r="G287" s="99">
        <f>G288</f>
        <v>99.7</v>
      </c>
    </row>
    <row r="288" spans="1:7" ht="15.75">
      <c r="A288" s="148" t="s">
        <v>221</v>
      </c>
      <c r="B288" s="149"/>
      <c r="C288" s="152" t="s">
        <v>152</v>
      </c>
      <c r="D288" s="152" t="s">
        <v>180</v>
      </c>
      <c r="E288" s="210" t="s">
        <v>29</v>
      </c>
      <c r="F288" s="208" t="s">
        <v>222</v>
      </c>
      <c r="G288" s="99">
        <v>99.7</v>
      </c>
    </row>
    <row r="289" spans="1:7" ht="15.75">
      <c r="A289" s="130" t="s">
        <v>325</v>
      </c>
      <c r="B289" s="149"/>
      <c r="C289" s="152" t="s">
        <v>152</v>
      </c>
      <c r="D289" s="152" t="s">
        <v>180</v>
      </c>
      <c r="E289" s="210" t="s">
        <v>92</v>
      </c>
      <c r="F289" s="208"/>
      <c r="G289" s="99">
        <f>G290</f>
        <v>1116.2</v>
      </c>
    </row>
    <row r="290" spans="1:7" ht="15.75">
      <c r="A290" s="147" t="s">
        <v>220</v>
      </c>
      <c r="B290" s="149"/>
      <c r="C290" s="152" t="s">
        <v>152</v>
      </c>
      <c r="D290" s="152" t="s">
        <v>180</v>
      </c>
      <c r="E290" s="210" t="s">
        <v>92</v>
      </c>
      <c r="F290" s="208" t="s">
        <v>206</v>
      </c>
      <c r="G290" s="99">
        <f>G291</f>
        <v>1116.2</v>
      </c>
    </row>
    <row r="291" spans="1:7" ht="18.75" customHeight="1">
      <c r="A291" s="148" t="s">
        <v>221</v>
      </c>
      <c r="B291" s="149"/>
      <c r="C291" s="152" t="s">
        <v>152</v>
      </c>
      <c r="D291" s="152" t="s">
        <v>180</v>
      </c>
      <c r="E291" s="210" t="s">
        <v>92</v>
      </c>
      <c r="F291" s="208" t="s">
        <v>222</v>
      </c>
      <c r="G291" s="99">
        <v>1116.2</v>
      </c>
    </row>
    <row r="292" spans="1:7" ht="15.75">
      <c r="A292" s="130" t="s">
        <v>430</v>
      </c>
      <c r="B292" s="149"/>
      <c r="C292" s="152" t="s">
        <v>152</v>
      </c>
      <c r="D292" s="152" t="s">
        <v>180</v>
      </c>
      <c r="E292" s="210" t="s">
        <v>431</v>
      </c>
      <c r="F292" s="208"/>
      <c r="G292" s="99">
        <f>G293</f>
        <v>39.852</v>
      </c>
    </row>
    <row r="293" spans="1:17" s="36" customFormat="1" ht="15.75">
      <c r="A293" s="147" t="s">
        <v>220</v>
      </c>
      <c r="B293" s="149"/>
      <c r="C293" s="152" t="s">
        <v>152</v>
      </c>
      <c r="D293" s="152" t="s">
        <v>180</v>
      </c>
      <c r="E293" s="210" t="s">
        <v>431</v>
      </c>
      <c r="F293" s="208" t="s">
        <v>206</v>
      </c>
      <c r="G293" s="99">
        <f>G294</f>
        <v>39.852</v>
      </c>
      <c r="Q293" s="43"/>
    </row>
    <row r="294" spans="1:17" s="36" customFormat="1" ht="15.75">
      <c r="A294" s="148" t="s">
        <v>221</v>
      </c>
      <c r="B294" s="149"/>
      <c r="C294" s="152" t="s">
        <v>152</v>
      </c>
      <c r="D294" s="152" t="s">
        <v>180</v>
      </c>
      <c r="E294" s="210" t="s">
        <v>431</v>
      </c>
      <c r="F294" s="208" t="s">
        <v>222</v>
      </c>
      <c r="G294" s="99">
        <v>39.852</v>
      </c>
      <c r="Q294" s="43"/>
    </row>
    <row r="295" spans="1:17" s="36" customFormat="1" ht="26.25">
      <c r="A295" s="150" t="s">
        <v>665</v>
      </c>
      <c r="B295" s="156"/>
      <c r="C295" s="152" t="s">
        <v>152</v>
      </c>
      <c r="D295" s="152" t="s">
        <v>180</v>
      </c>
      <c r="E295" s="208" t="s">
        <v>664</v>
      </c>
      <c r="F295" s="208"/>
      <c r="G295" s="99">
        <f>G296</f>
        <v>1106.5</v>
      </c>
      <c r="Q295" s="43"/>
    </row>
    <row r="296" spans="1:17" s="36" customFormat="1" ht="15.75">
      <c r="A296" s="147" t="s">
        <v>220</v>
      </c>
      <c r="B296" s="156"/>
      <c r="C296" s="152" t="s">
        <v>152</v>
      </c>
      <c r="D296" s="152" t="s">
        <v>180</v>
      </c>
      <c r="E296" s="208" t="s">
        <v>664</v>
      </c>
      <c r="F296" s="208" t="s">
        <v>206</v>
      </c>
      <c r="G296" s="99">
        <f>G297</f>
        <v>1106.5</v>
      </c>
      <c r="Q296" s="43"/>
    </row>
    <row r="297" spans="1:17" s="36" customFormat="1" ht="15.75">
      <c r="A297" s="151" t="s">
        <v>221</v>
      </c>
      <c r="B297" s="156"/>
      <c r="C297" s="152" t="s">
        <v>152</v>
      </c>
      <c r="D297" s="152" t="s">
        <v>180</v>
      </c>
      <c r="E297" s="208" t="s">
        <v>664</v>
      </c>
      <c r="F297" s="208" t="s">
        <v>222</v>
      </c>
      <c r="G297" s="99">
        <v>1106.5</v>
      </c>
      <c r="Q297" s="43"/>
    </row>
    <row r="298" spans="1:17" s="36" customFormat="1" ht="15.75">
      <c r="A298" s="150" t="s">
        <v>680</v>
      </c>
      <c r="B298" s="156"/>
      <c r="C298" s="152" t="s">
        <v>152</v>
      </c>
      <c r="D298" s="152" t="s">
        <v>180</v>
      </c>
      <c r="E298" s="208" t="s">
        <v>684</v>
      </c>
      <c r="F298" s="208"/>
      <c r="G298" s="99">
        <f>G299</f>
        <v>2200</v>
      </c>
      <c r="Q298" s="43"/>
    </row>
    <row r="299" spans="1:17" s="36" customFormat="1" ht="15.75">
      <c r="A299" s="147" t="s">
        <v>220</v>
      </c>
      <c r="B299" s="156"/>
      <c r="C299" s="152" t="s">
        <v>152</v>
      </c>
      <c r="D299" s="152" t="s">
        <v>180</v>
      </c>
      <c r="E299" s="208" t="s">
        <v>684</v>
      </c>
      <c r="F299" s="208" t="s">
        <v>206</v>
      </c>
      <c r="G299" s="99">
        <f>G300</f>
        <v>2200</v>
      </c>
      <c r="Q299" s="43"/>
    </row>
    <row r="300" spans="1:17" s="36" customFormat="1" ht="15.75">
      <c r="A300" s="151" t="s">
        <v>221</v>
      </c>
      <c r="B300" s="156"/>
      <c r="C300" s="152" t="s">
        <v>152</v>
      </c>
      <c r="D300" s="152" t="s">
        <v>180</v>
      </c>
      <c r="E300" s="208" t="s">
        <v>684</v>
      </c>
      <c r="F300" s="208" t="s">
        <v>222</v>
      </c>
      <c r="G300" s="99">
        <v>2200</v>
      </c>
      <c r="Q300" s="43"/>
    </row>
    <row r="301" spans="1:17" s="36" customFormat="1" ht="39">
      <c r="A301" s="150" t="s">
        <v>295</v>
      </c>
      <c r="B301" s="149"/>
      <c r="C301" s="152" t="s">
        <v>152</v>
      </c>
      <c r="D301" s="152" t="s">
        <v>180</v>
      </c>
      <c r="E301" s="210" t="s">
        <v>289</v>
      </c>
      <c r="F301" s="208"/>
      <c r="G301" s="99">
        <f>G302</f>
        <v>1622.8</v>
      </c>
      <c r="Q301" s="43"/>
    </row>
    <row r="302" spans="1:17" s="36" customFormat="1" ht="15.75">
      <c r="A302" s="147" t="s">
        <v>220</v>
      </c>
      <c r="B302" s="149"/>
      <c r="C302" s="152" t="s">
        <v>152</v>
      </c>
      <c r="D302" s="152" t="s">
        <v>180</v>
      </c>
      <c r="E302" s="210" t="s">
        <v>289</v>
      </c>
      <c r="F302" s="208" t="s">
        <v>206</v>
      </c>
      <c r="G302" s="99">
        <f>G303</f>
        <v>1622.8</v>
      </c>
      <c r="Q302" s="72"/>
    </row>
    <row r="303" spans="1:17" s="36" customFormat="1" ht="15.75" hidden="1">
      <c r="A303" s="148" t="s">
        <v>221</v>
      </c>
      <c r="B303" s="149"/>
      <c r="C303" s="152" t="s">
        <v>152</v>
      </c>
      <c r="D303" s="152" t="s">
        <v>180</v>
      </c>
      <c r="E303" s="210" t="s">
        <v>289</v>
      </c>
      <c r="F303" s="208" t="s">
        <v>222</v>
      </c>
      <c r="G303" s="99">
        <v>1622.8</v>
      </c>
      <c r="Q303" s="43"/>
    </row>
    <row r="304" spans="1:17" s="36" customFormat="1" ht="15.75" hidden="1">
      <c r="A304" s="124" t="s">
        <v>333</v>
      </c>
      <c r="B304" s="123"/>
      <c r="C304" s="152" t="s">
        <v>152</v>
      </c>
      <c r="D304" s="152" t="s">
        <v>180</v>
      </c>
      <c r="E304" s="210" t="s">
        <v>90</v>
      </c>
      <c r="F304" s="208"/>
      <c r="G304" s="74">
        <f>G305</f>
        <v>136451.5</v>
      </c>
      <c r="Q304" s="43"/>
    </row>
    <row r="305" spans="1:17" s="36" customFormat="1" ht="15.75" hidden="1">
      <c r="A305" s="147" t="s">
        <v>220</v>
      </c>
      <c r="B305" s="123"/>
      <c r="C305" s="152" t="s">
        <v>202</v>
      </c>
      <c r="D305" s="152" t="s">
        <v>180</v>
      </c>
      <c r="E305" s="210" t="s">
        <v>90</v>
      </c>
      <c r="F305" s="208" t="s">
        <v>206</v>
      </c>
      <c r="G305" s="99">
        <f>G306</f>
        <v>136451.5</v>
      </c>
      <c r="Q305" s="43"/>
    </row>
    <row r="306" spans="1:17" s="36" customFormat="1" ht="15.75" hidden="1">
      <c r="A306" s="148" t="s">
        <v>221</v>
      </c>
      <c r="B306" s="123"/>
      <c r="C306" s="152" t="s">
        <v>152</v>
      </c>
      <c r="D306" s="152" t="s">
        <v>180</v>
      </c>
      <c r="E306" s="210" t="s">
        <v>90</v>
      </c>
      <c r="F306" s="208" t="s">
        <v>222</v>
      </c>
      <c r="G306" s="99">
        <v>136451.5</v>
      </c>
      <c r="Q306" s="43"/>
    </row>
    <row r="307" spans="1:17" s="36" customFormat="1" ht="15.75" hidden="1">
      <c r="A307" s="145" t="s">
        <v>435</v>
      </c>
      <c r="B307" s="121"/>
      <c r="C307" s="153" t="s">
        <v>152</v>
      </c>
      <c r="D307" s="153" t="s">
        <v>180</v>
      </c>
      <c r="E307" s="206" t="s">
        <v>93</v>
      </c>
      <c r="F307" s="207"/>
      <c r="G307" s="78">
        <f>G308</f>
        <v>439.451</v>
      </c>
      <c r="Q307" s="43"/>
    </row>
    <row r="308" spans="1:17" s="36" customFormat="1" ht="15.75" hidden="1">
      <c r="A308" s="146" t="s">
        <v>128</v>
      </c>
      <c r="B308" s="149"/>
      <c r="C308" s="152" t="s">
        <v>152</v>
      </c>
      <c r="D308" s="152" t="s">
        <v>180</v>
      </c>
      <c r="E308" s="210" t="s">
        <v>94</v>
      </c>
      <c r="F308" s="208"/>
      <c r="G308" s="74">
        <f>G309</f>
        <v>439.451</v>
      </c>
      <c r="Q308" s="43"/>
    </row>
    <row r="309" spans="1:17" s="36" customFormat="1" ht="15.75">
      <c r="A309" s="147" t="s">
        <v>220</v>
      </c>
      <c r="B309" s="149"/>
      <c r="C309" s="152" t="s">
        <v>152</v>
      </c>
      <c r="D309" s="152" t="s">
        <v>180</v>
      </c>
      <c r="E309" s="210" t="s">
        <v>94</v>
      </c>
      <c r="F309" s="208" t="s">
        <v>206</v>
      </c>
      <c r="G309" s="74">
        <f>G310</f>
        <v>439.451</v>
      </c>
      <c r="Q309" s="43"/>
    </row>
    <row r="310" spans="1:17" s="36" customFormat="1" ht="15.75">
      <c r="A310" s="148" t="s">
        <v>221</v>
      </c>
      <c r="B310" s="149"/>
      <c r="C310" s="152" t="s">
        <v>152</v>
      </c>
      <c r="D310" s="152" t="s">
        <v>180</v>
      </c>
      <c r="E310" s="210" t="s">
        <v>94</v>
      </c>
      <c r="F310" s="208" t="s">
        <v>222</v>
      </c>
      <c r="G310" s="74">
        <f>198.451+241</f>
        <v>439.451</v>
      </c>
      <c r="Q310" s="43"/>
    </row>
    <row r="311" spans="1:17" s="36" customFormat="1" ht="15.75">
      <c r="A311" s="145" t="s">
        <v>193</v>
      </c>
      <c r="B311" s="152"/>
      <c r="C311" s="153" t="s">
        <v>152</v>
      </c>
      <c r="D311" s="153" t="s">
        <v>197</v>
      </c>
      <c r="E311" s="210"/>
      <c r="F311" s="208"/>
      <c r="G311" s="78">
        <f>G312+G395+G403</f>
        <v>584182.5020000001</v>
      </c>
      <c r="Q311" s="43"/>
    </row>
    <row r="312" spans="1:17" s="36" customFormat="1" ht="15.75">
      <c r="A312" s="145" t="s">
        <v>434</v>
      </c>
      <c r="B312" s="153"/>
      <c r="C312" s="153" t="s">
        <v>152</v>
      </c>
      <c r="D312" s="153" t="s">
        <v>197</v>
      </c>
      <c r="E312" s="206" t="s">
        <v>13</v>
      </c>
      <c r="F312" s="207"/>
      <c r="G312" s="78">
        <f>G313</f>
        <v>580823.7020000002</v>
      </c>
      <c r="Q312" s="43"/>
    </row>
    <row r="313" spans="1:17" s="36" customFormat="1" ht="15.75">
      <c r="A313" s="145" t="s">
        <v>441</v>
      </c>
      <c r="B313" s="153"/>
      <c r="C313" s="153" t="s">
        <v>152</v>
      </c>
      <c r="D313" s="153" t="s">
        <v>197</v>
      </c>
      <c r="E313" s="206" t="s">
        <v>31</v>
      </c>
      <c r="F313" s="207"/>
      <c r="G313" s="78">
        <f>G314+G317+G320+G326+G329+G332+G338+G341+G350+G353+G362+G365+G368+G380+G383+G344+G386+G359+G371+G374+G389+G392+G323+G347+G377+G356</f>
        <v>580823.7020000002</v>
      </c>
      <c r="Q313" s="43"/>
    </row>
    <row r="314" spans="1:17" s="36" customFormat="1" ht="15.75">
      <c r="A314" s="146" t="s">
        <v>125</v>
      </c>
      <c r="B314" s="123"/>
      <c r="C314" s="152" t="s">
        <v>152</v>
      </c>
      <c r="D314" s="152" t="s">
        <v>197</v>
      </c>
      <c r="E314" s="210" t="s">
        <v>32</v>
      </c>
      <c r="F314" s="208"/>
      <c r="G314" s="99">
        <f>G315</f>
        <v>102825.988</v>
      </c>
      <c r="Q314" s="43"/>
    </row>
    <row r="315" spans="1:17" s="36" customFormat="1" ht="15.75">
      <c r="A315" s="147" t="s">
        <v>220</v>
      </c>
      <c r="B315" s="123"/>
      <c r="C315" s="152" t="s">
        <v>152</v>
      </c>
      <c r="D315" s="152" t="s">
        <v>197</v>
      </c>
      <c r="E315" s="210" t="s">
        <v>32</v>
      </c>
      <c r="F315" s="208" t="s">
        <v>206</v>
      </c>
      <c r="G315" s="74">
        <f>G316</f>
        <v>102825.988</v>
      </c>
      <c r="Q315" s="43"/>
    </row>
    <row r="316" spans="1:17" s="36" customFormat="1" ht="15.75">
      <c r="A316" s="148" t="s">
        <v>221</v>
      </c>
      <c r="B316" s="123"/>
      <c r="C316" s="152" t="s">
        <v>152</v>
      </c>
      <c r="D316" s="152" t="s">
        <v>197</v>
      </c>
      <c r="E316" s="210" t="s">
        <v>32</v>
      </c>
      <c r="F316" s="208" t="s">
        <v>222</v>
      </c>
      <c r="G316" s="74">
        <v>102825.988</v>
      </c>
      <c r="Q316" s="43"/>
    </row>
    <row r="317" spans="1:17" s="36" customFormat="1" ht="15.75">
      <c r="A317" s="130" t="s">
        <v>253</v>
      </c>
      <c r="B317" s="123"/>
      <c r="C317" s="152" t="s">
        <v>152</v>
      </c>
      <c r="D317" s="152" t="s">
        <v>197</v>
      </c>
      <c r="E317" s="210" t="s">
        <v>259</v>
      </c>
      <c r="F317" s="208"/>
      <c r="G317" s="74">
        <f>G318</f>
        <v>908.9</v>
      </c>
      <c r="Q317" s="43"/>
    </row>
    <row r="318" spans="1:17" ht="15.75">
      <c r="A318" s="147" t="s">
        <v>220</v>
      </c>
      <c r="B318" s="123"/>
      <c r="C318" s="152" t="s">
        <v>152</v>
      </c>
      <c r="D318" s="152" t="s">
        <v>197</v>
      </c>
      <c r="E318" s="210" t="s">
        <v>259</v>
      </c>
      <c r="F318" s="208" t="s">
        <v>206</v>
      </c>
      <c r="G318" s="74">
        <f>G319</f>
        <v>908.9</v>
      </c>
      <c r="Q318" s="15"/>
    </row>
    <row r="319" spans="1:17" ht="15.75">
      <c r="A319" s="148" t="s">
        <v>221</v>
      </c>
      <c r="B319" s="123"/>
      <c r="C319" s="152" t="s">
        <v>152</v>
      </c>
      <c r="D319" s="152" t="s">
        <v>197</v>
      </c>
      <c r="E319" s="210" t="s">
        <v>259</v>
      </c>
      <c r="F319" s="208" t="s">
        <v>222</v>
      </c>
      <c r="G319" s="74">
        <v>908.9</v>
      </c>
      <c r="Q319" s="15"/>
    </row>
    <row r="320" spans="1:17" ht="15.75">
      <c r="A320" s="130" t="s">
        <v>564</v>
      </c>
      <c r="B320" s="123"/>
      <c r="C320" s="152" t="s">
        <v>152</v>
      </c>
      <c r="D320" s="152" t="s">
        <v>197</v>
      </c>
      <c r="E320" s="208" t="s">
        <v>566</v>
      </c>
      <c r="F320" s="208"/>
      <c r="G320" s="74">
        <f>G321</f>
        <v>3198.497</v>
      </c>
      <c r="Q320" s="15"/>
    </row>
    <row r="321" spans="1:17" s="36" customFormat="1" ht="15.75">
      <c r="A321" s="147" t="s">
        <v>220</v>
      </c>
      <c r="B321" s="123"/>
      <c r="C321" s="152" t="s">
        <v>152</v>
      </c>
      <c r="D321" s="152" t="s">
        <v>197</v>
      </c>
      <c r="E321" s="208" t="s">
        <v>566</v>
      </c>
      <c r="F321" s="208" t="s">
        <v>206</v>
      </c>
      <c r="G321" s="74">
        <f>G322</f>
        <v>3198.497</v>
      </c>
      <c r="Q321" s="43"/>
    </row>
    <row r="322" spans="1:17" s="36" customFormat="1" ht="15.75">
      <c r="A322" s="148" t="s">
        <v>221</v>
      </c>
      <c r="B322" s="123"/>
      <c r="C322" s="152" t="s">
        <v>152</v>
      </c>
      <c r="D322" s="152" t="s">
        <v>197</v>
      </c>
      <c r="E322" s="208" t="s">
        <v>566</v>
      </c>
      <c r="F322" s="208" t="s">
        <v>222</v>
      </c>
      <c r="G322" s="74">
        <v>3198.497</v>
      </c>
      <c r="Q322" s="43"/>
    </row>
    <row r="323" spans="1:17" s="36" customFormat="1" ht="15.75">
      <c r="A323" s="130" t="s">
        <v>8</v>
      </c>
      <c r="B323" s="123"/>
      <c r="C323" s="152" t="s">
        <v>152</v>
      </c>
      <c r="D323" s="152" t="s">
        <v>197</v>
      </c>
      <c r="E323" s="208" t="s">
        <v>648</v>
      </c>
      <c r="F323" s="208"/>
      <c r="G323" s="74">
        <f>G324</f>
        <v>2344.959</v>
      </c>
      <c r="Q323" s="43"/>
    </row>
    <row r="324" spans="1:17" s="36" customFormat="1" ht="15.75">
      <c r="A324" s="147" t="s">
        <v>220</v>
      </c>
      <c r="B324" s="123"/>
      <c r="C324" s="152" t="s">
        <v>152</v>
      </c>
      <c r="D324" s="152" t="s">
        <v>197</v>
      </c>
      <c r="E324" s="208" t="s">
        <v>648</v>
      </c>
      <c r="F324" s="208" t="s">
        <v>206</v>
      </c>
      <c r="G324" s="74">
        <f>G325</f>
        <v>2344.959</v>
      </c>
      <c r="Q324" s="43"/>
    </row>
    <row r="325" spans="1:17" s="36" customFormat="1" ht="15.75">
      <c r="A325" s="148" t="s">
        <v>221</v>
      </c>
      <c r="B325" s="123"/>
      <c r="C325" s="152" t="s">
        <v>152</v>
      </c>
      <c r="D325" s="152" t="s">
        <v>197</v>
      </c>
      <c r="E325" s="208" t="s">
        <v>648</v>
      </c>
      <c r="F325" s="208" t="s">
        <v>222</v>
      </c>
      <c r="G325" s="74">
        <v>2344.959</v>
      </c>
      <c r="Q325" s="43"/>
    </row>
    <row r="326" spans="1:17" s="36" customFormat="1" ht="15.75">
      <c r="A326" s="130" t="s">
        <v>432</v>
      </c>
      <c r="B326" s="149"/>
      <c r="C326" s="152" t="s">
        <v>152</v>
      </c>
      <c r="D326" s="152" t="s">
        <v>197</v>
      </c>
      <c r="E326" s="210" t="s">
        <v>369</v>
      </c>
      <c r="F326" s="208"/>
      <c r="G326" s="74">
        <f>G327</f>
        <v>4954.971</v>
      </c>
      <c r="Q326" s="43"/>
    </row>
    <row r="327" spans="1:17" s="36" customFormat="1" ht="15.75">
      <c r="A327" s="147" t="s">
        <v>220</v>
      </c>
      <c r="B327" s="149"/>
      <c r="C327" s="152" t="s">
        <v>152</v>
      </c>
      <c r="D327" s="152" t="s">
        <v>197</v>
      </c>
      <c r="E327" s="210" t="s">
        <v>369</v>
      </c>
      <c r="F327" s="208" t="s">
        <v>206</v>
      </c>
      <c r="G327" s="74">
        <f>G328</f>
        <v>4954.971</v>
      </c>
      <c r="Q327" s="43"/>
    </row>
    <row r="328" spans="1:17" s="36" customFormat="1" ht="15.75">
      <c r="A328" s="148" t="s">
        <v>221</v>
      </c>
      <c r="B328" s="149"/>
      <c r="C328" s="152" t="s">
        <v>152</v>
      </c>
      <c r="D328" s="152" t="s">
        <v>197</v>
      </c>
      <c r="E328" s="210" t="s">
        <v>369</v>
      </c>
      <c r="F328" s="208" t="s">
        <v>222</v>
      </c>
      <c r="G328" s="74">
        <v>4954.971</v>
      </c>
      <c r="Q328" s="43"/>
    </row>
    <row r="329" spans="1:17" s="32" customFormat="1" ht="15.75">
      <c r="A329" s="130" t="s">
        <v>323</v>
      </c>
      <c r="B329" s="149"/>
      <c r="C329" s="152" t="s">
        <v>152</v>
      </c>
      <c r="D329" s="152" t="s">
        <v>197</v>
      </c>
      <c r="E329" s="210" t="s">
        <v>33</v>
      </c>
      <c r="F329" s="208"/>
      <c r="G329" s="74">
        <f>G330</f>
        <v>1038.1</v>
      </c>
      <c r="Q329" s="44"/>
    </row>
    <row r="330" spans="1:17" s="32" customFormat="1" ht="15.75">
      <c r="A330" s="147" t="s">
        <v>220</v>
      </c>
      <c r="B330" s="149"/>
      <c r="C330" s="152" t="s">
        <v>152</v>
      </c>
      <c r="D330" s="152" t="s">
        <v>197</v>
      </c>
      <c r="E330" s="210" t="s">
        <v>33</v>
      </c>
      <c r="F330" s="208" t="s">
        <v>206</v>
      </c>
      <c r="G330" s="74">
        <f>G331</f>
        <v>1038.1</v>
      </c>
      <c r="Q330" s="44"/>
    </row>
    <row r="331" spans="1:17" s="32" customFormat="1" ht="15.75">
      <c r="A331" s="148" t="s">
        <v>221</v>
      </c>
      <c r="B331" s="149"/>
      <c r="C331" s="152" t="s">
        <v>152</v>
      </c>
      <c r="D331" s="152" t="s">
        <v>197</v>
      </c>
      <c r="E331" s="210" t="s">
        <v>33</v>
      </c>
      <c r="F331" s="208" t="s">
        <v>222</v>
      </c>
      <c r="G331" s="74">
        <v>1038.1</v>
      </c>
      <c r="Q331" s="44"/>
    </row>
    <row r="332" spans="1:17" s="32" customFormat="1" ht="15.75">
      <c r="A332" s="130" t="s">
        <v>324</v>
      </c>
      <c r="B332" s="149"/>
      <c r="C332" s="152" t="s">
        <v>152</v>
      </c>
      <c r="D332" s="152" t="s">
        <v>197</v>
      </c>
      <c r="E332" s="210" t="s">
        <v>34</v>
      </c>
      <c r="F332" s="208"/>
      <c r="G332" s="74">
        <f>G336+G333</f>
        <v>158.787</v>
      </c>
      <c r="Q332" s="44"/>
    </row>
    <row r="333" spans="1:17" s="32" customFormat="1" ht="15.75">
      <c r="A333" s="154" t="s">
        <v>102</v>
      </c>
      <c r="B333" s="149"/>
      <c r="C333" s="152" t="s">
        <v>152</v>
      </c>
      <c r="D333" s="152" t="s">
        <v>197</v>
      </c>
      <c r="E333" s="210" t="s">
        <v>34</v>
      </c>
      <c r="F333" s="208" t="s">
        <v>98</v>
      </c>
      <c r="G333" s="74">
        <f>G334+G335</f>
        <v>4.986999999999995</v>
      </c>
      <c r="Q333" s="44"/>
    </row>
    <row r="334" spans="1:17" s="32" customFormat="1" ht="15.75">
      <c r="A334" s="151" t="s">
        <v>97</v>
      </c>
      <c r="B334" s="149"/>
      <c r="C334" s="152" t="s">
        <v>152</v>
      </c>
      <c r="D334" s="152" t="s">
        <v>197</v>
      </c>
      <c r="E334" s="210" t="s">
        <v>34</v>
      </c>
      <c r="F334" s="208" t="s">
        <v>99</v>
      </c>
      <c r="G334" s="74">
        <f>89.387-89.4</f>
        <v>-0.01300000000000523</v>
      </c>
      <c r="Q334" s="44"/>
    </row>
    <row r="335" spans="1:17" s="32" customFormat="1" ht="15.75">
      <c r="A335" s="155" t="s">
        <v>275</v>
      </c>
      <c r="B335" s="149"/>
      <c r="C335" s="152" t="s">
        <v>152</v>
      </c>
      <c r="D335" s="152" t="s">
        <v>197</v>
      </c>
      <c r="E335" s="210" t="s">
        <v>34</v>
      </c>
      <c r="F335" s="208" t="s">
        <v>274</v>
      </c>
      <c r="G335" s="74">
        <f>72.4-67.4</f>
        <v>5</v>
      </c>
      <c r="Q335" s="44"/>
    </row>
    <row r="336" spans="1:17" s="32" customFormat="1" ht="15.75">
      <c r="A336" s="147" t="s">
        <v>220</v>
      </c>
      <c r="B336" s="149"/>
      <c r="C336" s="152" t="s">
        <v>152</v>
      </c>
      <c r="D336" s="152" t="s">
        <v>197</v>
      </c>
      <c r="E336" s="210" t="s">
        <v>34</v>
      </c>
      <c r="F336" s="208" t="s">
        <v>206</v>
      </c>
      <c r="G336" s="74">
        <f>G337</f>
        <v>153.8</v>
      </c>
      <c r="Q336" s="44"/>
    </row>
    <row r="337" spans="1:17" s="32" customFormat="1" ht="15.75">
      <c r="A337" s="148" t="s">
        <v>221</v>
      </c>
      <c r="B337" s="149"/>
      <c r="C337" s="152" t="s">
        <v>152</v>
      </c>
      <c r="D337" s="152" t="s">
        <v>197</v>
      </c>
      <c r="E337" s="210" t="s">
        <v>34</v>
      </c>
      <c r="F337" s="208" t="s">
        <v>222</v>
      </c>
      <c r="G337" s="74">
        <v>153.8</v>
      </c>
      <c r="Q337" s="44"/>
    </row>
    <row r="338" spans="1:17" s="32" customFormat="1" ht="15.75">
      <c r="A338" s="130" t="s">
        <v>325</v>
      </c>
      <c r="B338" s="149"/>
      <c r="C338" s="152" t="s">
        <v>152</v>
      </c>
      <c r="D338" s="152" t="s">
        <v>197</v>
      </c>
      <c r="E338" s="210" t="s">
        <v>35</v>
      </c>
      <c r="F338" s="208"/>
      <c r="G338" s="74">
        <f>G339</f>
        <v>4168.1</v>
      </c>
      <c r="Q338" s="44"/>
    </row>
    <row r="339" spans="1:17" s="32" customFormat="1" ht="15.75">
      <c r="A339" s="147" t="s">
        <v>220</v>
      </c>
      <c r="B339" s="149"/>
      <c r="C339" s="152" t="s">
        <v>152</v>
      </c>
      <c r="D339" s="152" t="s">
        <v>197</v>
      </c>
      <c r="E339" s="210" t="s">
        <v>35</v>
      </c>
      <c r="F339" s="208" t="s">
        <v>206</v>
      </c>
      <c r="G339" s="74">
        <f>G340</f>
        <v>4168.1</v>
      </c>
      <c r="Q339" s="44"/>
    </row>
    <row r="340" spans="1:17" s="32" customFormat="1" ht="15.75">
      <c r="A340" s="148" t="s">
        <v>221</v>
      </c>
      <c r="B340" s="149"/>
      <c r="C340" s="152" t="s">
        <v>152</v>
      </c>
      <c r="D340" s="152" t="s">
        <v>197</v>
      </c>
      <c r="E340" s="210" t="s">
        <v>35</v>
      </c>
      <c r="F340" s="208" t="s">
        <v>222</v>
      </c>
      <c r="G340" s="74">
        <f>3781.3-13.2+400</f>
        <v>4168.1</v>
      </c>
      <c r="Q340" s="44"/>
    </row>
    <row r="341" spans="1:17" s="32" customFormat="1" ht="15.75">
      <c r="A341" s="151" t="s">
        <v>430</v>
      </c>
      <c r="B341" s="149"/>
      <c r="C341" s="152" t="s">
        <v>152</v>
      </c>
      <c r="D341" s="152" t="s">
        <v>197</v>
      </c>
      <c r="E341" s="210" t="s">
        <v>575</v>
      </c>
      <c r="F341" s="208"/>
      <c r="G341" s="74">
        <f>G342</f>
        <v>37</v>
      </c>
      <c r="Q341" s="44"/>
    </row>
    <row r="342" spans="1:17" s="32" customFormat="1" ht="15.75">
      <c r="A342" s="147" t="s">
        <v>220</v>
      </c>
      <c r="B342" s="149"/>
      <c r="C342" s="152" t="s">
        <v>152</v>
      </c>
      <c r="D342" s="152" t="s">
        <v>197</v>
      </c>
      <c r="E342" s="210" t="s">
        <v>575</v>
      </c>
      <c r="F342" s="208" t="s">
        <v>206</v>
      </c>
      <c r="G342" s="74">
        <f>G343</f>
        <v>37</v>
      </c>
      <c r="Q342" s="44"/>
    </row>
    <row r="343" spans="1:17" s="36" customFormat="1" ht="15.75">
      <c r="A343" s="151" t="s">
        <v>221</v>
      </c>
      <c r="B343" s="149"/>
      <c r="C343" s="152" t="s">
        <v>152</v>
      </c>
      <c r="D343" s="152" t="s">
        <v>197</v>
      </c>
      <c r="E343" s="210" t="s">
        <v>575</v>
      </c>
      <c r="F343" s="208" t="s">
        <v>222</v>
      </c>
      <c r="G343" s="74">
        <v>37</v>
      </c>
      <c r="Q343" s="43"/>
    </row>
    <row r="344" spans="1:17" s="36" customFormat="1" ht="25.5">
      <c r="A344" s="144" t="s">
        <v>519</v>
      </c>
      <c r="B344" s="149"/>
      <c r="C344" s="152" t="s">
        <v>152</v>
      </c>
      <c r="D344" s="152" t="s">
        <v>197</v>
      </c>
      <c r="E344" s="208" t="s">
        <v>520</v>
      </c>
      <c r="F344" s="208"/>
      <c r="G344" s="74">
        <f>G345</f>
        <v>22583.3</v>
      </c>
      <c r="Q344" s="43"/>
    </row>
    <row r="345" spans="1:17" s="36" customFormat="1" ht="15.75">
      <c r="A345" s="147" t="s">
        <v>220</v>
      </c>
      <c r="B345" s="149"/>
      <c r="C345" s="152" t="s">
        <v>152</v>
      </c>
      <c r="D345" s="152" t="s">
        <v>197</v>
      </c>
      <c r="E345" s="208" t="s">
        <v>520</v>
      </c>
      <c r="F345" s="208" t="s">
        <v>206</v>
      </c>
      <c r="G345" s="74">
        <f>G346</f>
        <v>22583.3</v>
      </c>
      <c r="Q345" s="43"/>
    </row>
    <row r="346" spans="1:17" s="36" customFormat="1" ht="15.75">
      <c r="A346" s="148" t="s">
        <v>221</v>
      </c>
      <c r="B346" s="149"/>
      <c r="C346" s="152" t="s">
        <v>152</v>
      </c>
      <c r="D346" s="152" t="s">
        <v>197</v>
      </c>
      <c r="E346" s="208" t="s">
        <v>520</v>
      </c>
      <c r="F346" s="208" t="s">
        <v>222</v>
      </c>
      <c r="G346" s="74">
        <v>22583.3</v>
      </c>
      <c r="Q346" s="43"/>
    </row>
    <row r="347" spans="1:17" s="36" customFormat="1" ht="15.75">
      <c r="A347" s="150" t="s">
        <v>671</v>
      </c>
      <c r="B347" s="158"/>
      <c r="C347" s="152" t="s">
        <v>152</v>
      </c>
      <c r="D347" s="152" t="s">
        <v>197</v>
      </c>
      <c r="E347" s="210" t="s">
        <v>670</v>
      </c>
      <c r="F347" s="208"/>
      <c r="G347" s="74">
        <f>G348</f>
        <v>484</v>
      </c>
      <c r="Q347" s="43"/>
    </row>
    <row r="348" spans="1:17" s="36" customFormat="1" ht="15.75">
      <c r="A348" s="147" t="s">
        <v>220</v>
      </c>
      <c r="B348" s="158"/>
      <c r="C348" s="152" t="s">
        <v>152</v>
      </c>
      <c r="D348" s="152" t="s">
        <v>197</v>
      </c>
      <c r="E348" s="210" t="s">
        <v>670</v>
      </c>
      <c r="F348" s="208" t="s">
        <v>206</v>
      </c>
      <c r="G348" s="74">
        <f>G349</f>
        <v>484</v>
      </c>
      <c r="Q348" s="43"/>
    </row>
    <row r="349" spans="1:17" s="36" customFormat="1" ht="15.75">
      <c r="A349" s="148" t="s">
        <v>221</v>
      </c>
      <c r="B349" s="158"/>
      <c r="C349" s="152" t="s">
        <v>152</v>
      </c>
      <c r="D349" s="152" t="s">
        <v>197</v>
      </c>
      <c r="E349" s="210" t="s">
        <v>670</v>
      </c>
      <c r="F349" s="208" t="s">
        <v>222</v>
      </c>
      <c r="G349" s="74">
        <v>484</v>
      </c>
      <c r="Q349" s="43"/>
    </row>
    <row r="350" spans="1:17" s="36" customFormat="1" ht="26.25">
      <c r="A350" s="150" t="s">
        <v>650</v>
      </c>
      <c r="B350" s="158"/>
      <c r="C350" s="152" t="s">
        <v>152</v>
      </c>
      <c r="D350" s="152" t="s">
        <v>197</v>
      </c>
      <c r="E350" s="210" t="s">
        <v>649</v>
      </c>
      <c r="F350" s="208"/>
      <c r="G350" s="74">
        <f>G351</f>
        <v>2276</v>
      </c>
      <c r="Q350" s="43"/>
    </row>
    <row r="351" spans="1:10" ht="21" customHeight="1">
      <c r="A351" s="147" t="s">
        <v>220</v>
      </c>
      <c r="B351" s="158"/>
      <c r="C351" s="152" t="s">
        <v>152</v>
      </c>
      <c r="D351" s="152" t="s">
        <v>197</v>
      </c>
      <c r="E351" s="210" t="s">
        <v>649</v>
      </c>
      <c r="F351" s="208" t="s">
        <v>206</v>
      </c>
      <c r="G351" s="74">
        <f>G352</f>
        <v>2276</v>
      </c>
      <c r="H351" s="54">
        <f>H355</f>
        <v>0</v>
      </c>
      <c r="I351" s="54">
        <f>I355</f>
        <v>27858.899999999998</v>
      </c>
      <c r="J351" s="55"/>
    </row>
    <row r="352" spans="1:10" ht="30.75" customHeight="1">
      <c r="A352" s="148" t="s">
        <v>221</v>
      </c>
      <c r="B352" s="158"/>
      <c r="C352" s="152" t="s">
        <v>152</v>
      </c>
      <c r="D352" s="152" t="s">
        <v>197</v>
      </c>
      <c r="E352" s="210" t="s">
        <v>649</v>
      </c>
      <c r="F352" s="208" t="s">
        <v>222</v>
      </c>
      <c r="G352" s="74">
        <v>2276</v>
      </c>
      <c r="H352" s="54"/>
      <c r="I352" s="54"/>
      <c r="J352" s="55"/>
    </row>
    <row r="353" spans="1:10" ht="21" customHeight="1">
      <c r="A353" s="150" t="s">
        <v>665</v>
      </c>
      <c r="B353" s="158"/>
      <c r="C353" s="152" t="s">
        <v>152</v>
      </c>
      <c r="D353" s="152" t="s">
        <v>197</v>
      </c>
      <c r="E353" s="208" t="s">
        <v>666</v>
      </c>
      <c r="F353" s="208"/>
      <c r="G353" s="99">
        <f>G354</f>
        <v>1094</v>
      </c>
      <c r="H353" s="54"/>
      <c r="I353" s="54"/>
      <c r="J353" s="55"/>
    </row>
    <row r="354" spans="1:10" ht="21" customHeight="1">
      <c r="A354" s="147" t="s">
        <v>220</v>
      </c>
      <c r="B354" s="158"/>
      <c r="C354" s="152" t="s">
        <v>152</v>
      </c>
      <c r="D354" s="152" t="s">
        <v>197</v>
      </c>
      <c r="E354" s="208" t="s">
        <v>666</v>
      </c>
      <c r="F354" s="208" t="s">
        <v>206</v>
      </c>
      <c r="G354" s="99">
        <f>G355</f>
        <v>1094</v>
      </c>
      <c r="H354" s="54"/>
      <c r="I354" s="54"/>
      <c r="J354" s="55"/>
    </row>
    <row r="355" spans="1:10" ht="15" customHeight="1">
      <c r="A355" s="151" t="s">
        <v>221</v>
      </c>
      <c r="B355" s="158"/>
      <c r="C355" s="152" t="s">
        <v>152</v>
      </c>
      <c r="D355" s="152" t="s">
        <v>197</v>
      </c>
      <c r="E355" s="208" t="s">
        <v>666</v>
      </c>
      <c r="F355" s="208" t="s">
        <v>222</v>
      </c>
      <c r="G355" s="99">
        <v>1094</v>
      </c>
      <c r="H355" s="54">
        <f>H356</f>
        <v>0</v>
      </c>
      <c r="I355" s="54">
        <f>I356</f>
        <v>27858.899999999998</v>
      </c>
      <c r="J355" s="55"/>
    </row>
    <row r="356" spans="1:10" ht="18.75" customHeight="1">
      <c r="A356" s="150" t="s">
        <v>680</v>
      </c>
      <c r="B356" s="158"/>
      <c r="C356" s="152" t="s">
        <v>152</v>
      </c>
      <c r="D356" s="152" t="s">
        <v>197</v>
      </c>
      <c r="E356" s="210" t="s">
        <v>685</v>
      </c>
      <c r="F356" s="208"/>
      <c r="G356" s="74">
        <f>G357</f>
        <v>6712.4</v>
      </c>
      <c r="H356" s="54">
        <v>0</v>
      </c>
      <c r="I356" s="29">
        <f>G407-H356</f>
        <v>27858.899999999998</v>
      </c>
      <c r="J356" s="56"/>
    </row>
    <row r="357" spans="1:10" ht="24.75" customHeight="1">
      <c r="A357" s="147" t="s">
        <v>220</v>
      </c>
      <c r="B357" s="158"/>
      <c r="C357" s="152" t="s">
        <v>152</v>
      </c>
      <c r="D357" s="152" t="s">
        <v>197</v>
      </c>
      <c r="E357" s="210" t="s">
        <v>685</v>
      </c>
      <c r="F357" s="208" t="s">
        <v>206</v>
      </c>
      <c r="G357" s="74">
        <f>G358</f>
        <v>6712.4</v>
      </c>
      <c r="H357" s="76"/>
      <c r="I357" s="55"/>
      <c r="J357" s="56"/>
    </row>
    <row r="358" spans="1:10" ht="40.5" customHeight="1">
      <c r="A358" s="148" t="s">
        <v>221</v>
      </c>
      <c r="B358" s="158"/>
      <c r="C358" s="152" t="s">
        <v>152</v>
      </c>
      <c r="D358" s="152" t="s">
        <v>197</v>
      </c>
      <c r="E358" s="210" t="s">
        <v>685</v>
      </c>
      <c r="F358" s="208" t="s">
        <v>222</v>
      </c>
      <c r="G358" s="74">
        <v>6712.4</v>
      </c>
      <c r="H358" s="76"/>
      <c r="I358" s="55"/>
      <c r="J358" s="56"/>
    </row>
    <row r="359" spans="1:10" ht="18.75" customHeight="1">
      <c r="A359" s="150" t="s">
        <v>619</v>
      </c>
      <c r="B359" s="156"/>
      <c r="C359" s="152" t="s">
        <v>152</v>
      </c>
      <c r="D359" s="152" t="s">
        <v>197</v>
      </c>
      <c r="E359" s="208" t="s">
        <v>618</v>
      </c>
      <c r="F359" s="208"/>
      <c r="G359" s="74">
        <f>G360</f>
        <v>8790.7</v>
      </c>
      <c r="H359" s="76"/>
      <c r="I359" s="55"/>
      <c r="J359" s="56"/>
    </row>
    <row r="360" spans="1:17" s="36" customFormat="1" ht="15.75">
      <c r="A360" s="147" t="s">
        <v>220</v>
      </c>
      <c r="B360" s="156"/>
      <c r="C360" s="152" t="s">
        <v>152</v>
      </c>
      <c r="D360" s="152" t="s">
        <v>197</v>
      </c>
      <c r="E360" s="208" t="s">
        <v>618</v>
      </c>
      <c r="F360" s="208" t="s">
        <v>206</v>
      </c>
      <c r="G360" s="74">
        <f>G361</f>
        <v>8790.7</v>
      </c>
      <c r="Q360" s="43"/>
    </row>
    <row r="361" spans="1:17" s="36" customFormat="1" ht="15.75">
      <c r="A361" s="151" t="s">
        <v>221</v>
      </c>
      <c r="B361" s="156"/>
      <c r="C361" s="152" t="s">
        <v>152</v>
      </c>
      <c r="D361" s="152" t="s">
        <v>197</v>
      </c>
      <c r="E361" s="208" t="s">
        <v>618</v>
      </c>
      <c r="F361" s="208" t="s">
        <v>222</v>
      </c>
      <c r="G361" s="74">
        <v>8790.7</v>
      </c>
      <c r="Q361" s="43"/>
    </row>
    <row r="362" spans="1:17" s="36" customFormat="1" ht="39">
      <c r="A362" s="150" t="s">
        <v>295</v>
      </c>
      <c r="B362" s="156"/>
      <c r="C362" s="152" t="s">
        <v>152</v>
      </c>
      <c r="D362" s="152" t="s">
        <v>197</v>
      </c>
      <c r="E362" s="210" t="s">
        <v>290</v>
      </c>
      <c r="F362" s="208"/>
      <c r="G362" s="99">
        <f>G363</f>
        <v>5373.1</v>
      </c>
      <c r="Q362" s="43"/>
    </row>
    <row r="363" spans="1:17" s="36" customFormat="1" ht="15.75">
      <c r="A363" s="147" t="s">
        <v>220</v>
      </c>
      <c r="B363" s="156"/>
      <c r="C363" s="152" t="s">
        <v>152</v>
      </c>
      <c r="D363" s="152" t="s">
        <v>197</v>
      </c>
      <c r="E363" s="210" t="s">
        <v>290</v>
      </c>
      <c r="F363" s="208" t="s">
        <v>206</v>
      </c>
      <c r="G363" s="99">
        <f>G364</f>
        <v>5373.1</v>
      </c>
      <c r="Q363" s="43"/>
    </row>
    <row r="364" spans="1:17" s="36" customFormat="1" ht="15.75">
      <c r="A364" s="148" t="s">
        <v>221</v>
      </c>
      <c r="B364" s="156"/>
      <c r="C364" s="152" t="s">
        <v>152</v>
      </c>
      <c r="D364" s="152" t="s">
        <v>197</v>
      </c>
      <c r="E364" s="210" t="s">
        <v>290</v>
      </c>
      <c r="F364" s="208" t="s">
        <v>222</v>
      </c>
      <c r="G364" s="99">
        <f>4087+1286.1</f>
        <v>5373.1</v>
      </c>
      <c r="Q364" s="43"/>
    </row>
    <row r="365" spans="1:17" s="36" customFormat="1" ht="14.25" customHeight="1">
      <c r="A365" s="130" t="s">
        <v>333</v>
      </c>
      <c r="B365" s="157"/>
      <c r="C365" s="152" t="s">
        <v>152</v>
      </c>
      <c r="D365" s="152" t="s">
        <v>197</v>
      </c>
      <c r="E365" s="210" t="s">
        <v>43</v>
      </c>
      <c r="F365" s="208"/>
      <c r="G365" s="99">
        <f>G366</f>
        <v>247743.40000000002</v>
      </c>
      <c r="Q365" s="43"/>
    </row>
    <row r="366" spans="1:17" s="36" customFormat="1" ht="15.75" customHeight="1">
      <c r="A366" s="147" t="s">
        <v>220</v>
      </c>
      <c r="B366" s="158"/>
      <c r="C366" s="152" t="s">
        <v>152</v>
      </c>
      <c r="D366" s="152" t="s">
        <v>197</v>
      </c>
      <c r="E366" s="210" t="s">
        <v>43</v>
      </c>
      <c r="F366" s="208" t="s">
        <v>206</v>
      </c>
      <c r="G366" s="99">
        <f>G367</f>
        <v>247743.40000000002</v>
      </c>
      <c r="Q366" s="43"/>
    </row>
    <row r="367" spans="1:17" s="36" customFormat="1" ht="15.75">
      <c r="A367" s="148" t="s">
        <v>221</v>
      </c>
      <c r="B367" s="158"/>
      <c r="C367" s="152" t="s">
        <v>152</v>
      </c>
      <c r="D367" s="152" t="s">
        <v>197</v>
      </c>
      <c r="E367" s="210" t="s">
        <v>43</v>
      </c>
      <c r="F367" s="208" t="s">
        <v>222</v>
      </c>
      <c r="G367" s="74">
        <f>236562.2+11181.2</f>
        <v>247743.40000000002</v>
      </c>
      <c r="Q367" s="43"/>
    </row>
    <row r="368" spans="1:17" s="36" customFormat="1" ht="15.75">
      <c r="A368" s="155" t="s">
        <v>647</v>
      </c>
      <c r="B368" s="158"/>
      <c r="C368" s="152" t="s">
        <v>152</v>
      </c>
      <c r="D368" s="152" t="s">
        <v>197</v>
      </c>
      <c r="E368" s="210" t="s">
        <v>646</v>
      </c>
      <c r="F368" s="208"/>
      <c r="G368" s="74">
        <f>G369</f>
        <v>5471.6</v>
      </c>
      <c r="Q368" s="43"/>
    </row>
    <row r="369" spans="1:17" s="32" customFormat="1" ht="15.75">
      <c r="A369" s="147" t="s">
        <v>220</v>
      </c>
      <c r="B369" s="158"/>
      <c r="C369" s="152" t="s">
        <v>152</v>
      </c>
      <c r="D369" s="152" t="s">
        <v>197</v>
      </c>
      <c r="E369" s="210" t="s">
        <v>646</v>
      </c>
      <c r="F369" s="208" t="s">
        <v>206</v>
      </c>
      <c r="G369" s="74">
        <f>G370</f>
        <v>5471.6</v>
      </c>
      <c r="Q369" s="44"/>
    </row>
    <row r="370" spans="1:17" s="32" customFormat="1" ht="15.75">
      <c r="A370" s="151" t="s">
        <v>221</v>
      </c>
      <c r="B370" s="158"/>
      <c r="C370" s="152" t="s">
        <v>152</v>
      </c>
      <c r="D370" s="152" t="s">
        <v>197</v>
      </c>
      <c r="E370" s="210" t="s">
        <v>646</v>
      </c>
      <c r="F370" s="208" t="s">
        <v>222</v>
      </c>
      <c r="G370" s="74">
        <v>5471.6</v>
      </c>
      <c r="Q370" s="44"/>
    </row>
    <row r="371" spans="1:17" s="32" customFormat="1" ht="15.75">
      <c r="A371" s="150" t="s">
        <v>620</v>
      </c>
      <c r="B371" s="158"/>
      <c r="C371" s="152" t="s">
        <v>152</v>
      </c>
      <c r="D371" s="152" t="s">
        <v>197</v>
      </c>
      <c r="E371" s="208" t="s">
        <v>621</v>
      </c>
      <c r="F371" s="208"/>
      <c r="G371" s="74">
        <f>G372</f>
        <v>132858.7</v>
      </c>
      <c r="Q371" s="44"/>
    </row>
    <row r="372" spans="1:17" s="32" customFormat="1" ht="15.75">
      <c r="A372" s="147" t="s">
        <v>220</v>
      </c>
      <c r="B372" s="158"/>
      <c r="C372" s="152" t="s">
        <v>152</v>
      </c>
      <c r="D372" s="152" t="s">
        <v>197</v>
      </c>
      <c r="E372" s="208" t="s">
        <v>621</v>
      </c>
      <c r="F372" s="208" t="s">
        <v>206</v>
      </c>
      <c r="G372" s="74">
        <f>G373</f>
        <v>132858.7</v>
      </c>
      <c r="Q372" s="44"/>
    </row>
    <row r="373" spans="1:17" s="32" customFormat="1" ht="15.75">
      <c r="A373" s="151" t="s">
        <v>221</v>
      </c>
      <c r="B373" s="158"/>
      <c r="C373" s="152" t="s">
        <v>152</v>
      </c>
      <c r="D373" s="152" t="s">
        <v>197</v>
      </c>
      <c r="E373" s="208" t="s">
        <v>621</v>
      </c>
      <c r="F373" s="208" t="s">
        <v>222</v>
      </c>
      <c r="G373" s="74">
        <f>118066.3+11094.3+3698.1</f>
        <v>132858.7</v>
      </c>
      <c r="Q373" s="44"/>
    </row>
    <row r="374" spans="1:17" s="32" customFormat="1" ht="15.75">
      <c r="A374" s="159" t="s">
        <v>632</v>
      </c>
      <c r="B374" s="152"/>
      <c r="C374" s="152" t="s">
        <v>152</v>
      </c>
      <c r="D374" s="152" t="s">
        <v>197</v>
      </c>
      <c r="E374" s="208" t="s">
        <v>631</v>
      </c>
      <c r="F374" s="208"/>
      <c r="G374" s="74">
        <f>G375</f>
        <v>21632.8</v>
      </c>
      <c r="Q374" s="44"/>
    </row>
    <row r="375" spans="1:17" s="36" customFormat="1" ht="15.75">
      <c r="A375" s="151" t="s">
        <v>265</v>
      </c>
      <c r="B375" s="152"/>
      <c r="C375" s="152" t="s">
        <v>152</v>
      </c>
      <c r="D375" s="152" t="s">
        <v>197</v>
      </c>
      <c r="E375" s="208" t="s">
        <v>631</v>
      </c>
      <c r="F375" s="208" t="s">
        <v>229</v>
      </c>
      <c r="G375" s="74">
        <f>G376</f>
        <v>21632.8</v>
      </c>
      <c r="Q375" s="43"/>
    </row>
    <row r="376" spans="1:17" s="36" customFormat="1" ht="39">
      <c r="A376" s="151" t="s">
        <v>654</v>
      </c>
      <c r="B376" s="152"/>
      <c r="C376" s="152" t="s">
        <v>152</v>
      </c>
      <c r="D376" s="152" t="s">
        <v>197</v>
      </c>
      <c r="E376" s="208" t="s">
        <v>631</v>
      </c>
      <c r="F376" s="208" t="s">
        <v>653</v>
      </c>
      <c r="G376" s="74">
        <v>21632.8</v>
      </c>
      <c r="Q376" s="43"/>
    </row>
    <row r="377" spans="1:17" s="32" customFormat="1" ht="39">
      <c r="A377" s="151" t="s">
        <v>565</v>
      </c>
      <c r="B377" s="149"/>
      <c r="C377" s="152" t="s">
        <v>152</v>
      </c>
      <c r="D377" s="152" t="s">
        <v>197</v>
      </c>
      <c r="E377" s="210" t="s">
        <v>672</v>
      </c>
      <c r="F377" s="208"/>
      <c r="G377" s="74">
        <f>G378</f>
        <v>9.7</v>
      </c>
      <c r="Q377" s="44"/>
    </row>
    <row r="378" spans="1:17" s="36" customFormat="1" ht="15.75">
      <c r="A378" s="147" t="s">
        <v>220</v>
      </c>
      <c r="B378" s="149"/>
      <c r="C378" s="152" t="s">
        <v>152</v>
      </c>
      <c r="D378" s="152" t="s">
        <v>197</v>
      </c>
      <c r="E378" s="210" t="s">
        <v>672</v>
      </c>
      <c r="F378" s="208" t="s">
        <v>206</v>
      </c>
      <c r="G378" s="74">
        <f>G379</f>
        <v>9.7</v>
      </c>
      <c r="Q378" s="43"/>
    </row>
    <row r="379" spans="1:17" s="36" customFormat="1" ht="15.75">
      <c r="A379" s="148" t="s">
        <v>221</v>
      </c>
      <c r="B379" s="149"/>
      <c r="C379" s="152" t="s">
        <v>152</v>
      </c>
      <c r="D379" s="152" t="s">
        <v>197</v>
      </c>
      <c r="E379" s="210" t="s">
        <v>672</v>
      </c>
      <c r="F379" s="208" t="s">
        <v>222</v>
      </c>
      <c r="G379" s="74">
        <v>9.7</v>
      </c>
      <c r="Q379" s="43"/>
    </row>
    <row r="380" spans="1:17" s="36" customFormat="1" ht="39">
      <c r="A380" s="151" t="s">
        <v>471</v>
      </c>
      <c r="B380" s="149"/>
      <c r="C380" s="152" t="s">
        <v>152</v>
      </c>
      <c r="D380" s="152" t="s">
        <v>197</v>
      </c>
      <c r="E380" s="210" t="s">
        <v>470</v>
      </c>
      <c r="F380" s="208"/>
      <c r="G380" s="74">
        <f>G381</f>
        <v>1771.7</v>
      </c>
      <c r="Q380" s="43"/>
    </row>
    <row r="381" spans="1:17" s="36" customFormat="1" ht="15.75">
      <c r="A381" s="147" t="s">
        <v>220</v>
      </c>
      <c r="B381" s="149"/>
      <c r="C381" s="152" t="s">
        <v>152</v>
      </c>
      <c r="D381" s="152" t="s">
        <v>197</v>
      </c>
      <c r="E381" s="210" t="s">
        <v>470</v>
      </c>
      <c r="F381" s="208" t="s">
        <v>206</v>
      </c>
      <c r="G381" s="74">
        <f>G382</f>
        <v>1771.7</v>
      </c>
      <c r="Q381" s="43"/>
    </row>
    <row r="382" spans="1:17" s="32" customFormat="1" ht="15.75" hidden="1">
      <c r="A382" s="148" t="s">
        <v>221</v>
      </c>
      <c r="B382" s="149"/>
      <c r="C382" s="152" t="s">
        <v>152</v>
      </c>
      <c r="D382" s="152" t="s">
        <v>197</v>
      </c>
      <c r="E382" s="210" t="s">
        <v>470</v>
      </c>
      <c r="F382" s="208" t="s">
        <v>222</v>
      </c>
      <c r="G382" s="74">
        <v>1771.7</v>
      </c>
      <c r="Q382" s="44"/>
    </row>
    <row r="383" spans="1:10" ht="24.75" customHeight="1" hidden="1">
      <c r="A383" s="151" t="s">
        <v>473</v>
      </c>
      <c r="B383" s="149"/>
      <c r="C383" s="152" t="s">
        <v>152</v>
      </c>
      <c r="D383" s="152" t="s">
        <v>197</v>
      </c>
      <c r="E383" s="210" t="s">
        <v>472</v>
      </c>
      <c r="F383" s="208"/>
      <c r="G383" s="74">
        <f aca="true" t="shared" si="2" ref="G383:I384">G384</f>
        <v>92</v>
      </c>
      <c r="H383" s="54">
        <f t="shared" si="2"/>
        <v>0</v>
      </c>
      <c r="I383" s="54">
        <f t="shared" si="2"/>
        <v>296.8</v>
      </c>
      <c r="J383" s="55"/>
    </row>
    <row r="384" spans="1:10" ht="15" customHeight="1" hidden="1">
      <c r="A384" s="147" t="s">
        <v>102</v>
      </c>
      <c r="B384" s="149"/>
      <c r="C384" s="152" t="s">
        <v>152</v>
      </c>
      <c r="D384" s="152" t="s">
        <v>197</v>
      </c>
      <c r="E384" s="210" t="s">
        <v>472</v>
      </c>
      <c r="F384" s="208" t="s">
        <v>98</v>
      </c>
      <c r="G384" s="74">
        <f t="shared" si="2"/>
        <v>92</v>
      </c>
      <c r="H384" s="54">
        <f t="shared" si="2"/>
        <v>0</v>
      </c>
      <c r="I384" s="54">
        <f t="shared" si="2"/>
        <v>296.8</v>
      </c>
      <c r="J384" s="55"/>
    </row>
    <row r="385" spans="1:10" ht="18.75" customHeight="1">
      <c r="A385" s="148" t="s">
        <v>97</v>
      </c>
      <c r="B385" s="149"/>
      <c r="C385" s="152" t="s">
        <v>152</v>
      </c>
      <c r="D385" s="152" t="s">
        <v>197</v>
      </c>
      <c r="E385" s="210" t="s">
        <v>472</v>
      </c>
      <c r="F385" s="208" t="s">
        <v>99</v>
      </c>
      <c r="G385" s="74">
        <v>92</v>
      </c>
      <c r="H385" s="54">
        <v>0</v>
      </c>
      <c r="I385" s="29">
        <f>G423-H385</f>
        <v>296.8</v>
      </c>
      <c r="J385" s="56"/>
    </row>
    <row r="386" spans="1:10" ht="30.75" customHeight="1">
      <c r="A386" s="109" t="s">
        <v>298</v>
      </c>
      <c r="B386" s="123"/>
      <c r="C386" s="152" t="s">
        <v>152</v>
      </c>
      <c r="D386" s="152" t="s">
        <v>197</v>
      </c>
      <c r="E386" s="210" t="s">
        <v>576</v>
      </c>
      <c r="F386" s="208"/>
      <c r="G386" s="74">
        <f aca="true" t="shared" si="3" ref="G386:G393">G387</f>
        <v>219.7</v>
      </c>
      <c r="H386" s="54">
        <f>H387</f>
        <v>0</v>
      </c>
      <c r="I386" s="54">
        <f>I387</f>
        <v>0</v>
      </c>
      <c r="J386" s="55"/>
    </row>
    <row r="387" spans="1:10" ht="15" customHeight="1">
      <c r="A387" s="147" t="s">
        <v>220</v>
      </c>
      <c r="B387" s="123"/>
      <c r="C387" s="152" t="s">
        <v>152</v>
      </c>
      <c r="D387" s="152" t="s">
        <v>197</v>
      </c>
      <c r="E387" s="210" t="s">
        <v>576</v>
      </c>
      <c r="F387" s="208" t="s">
        <v>206</v>
      </c>
      <c r="G387" s="74">
        <f t="shared" si="3"/>
        <v>219.7</v>
      </c>
      <c r="H387" s="54">
        <f>H388</f>
        <v>0</v>
      </c>
      <c r="I387" s="54">
        <f>I388</f>
        <v>0</v>
      </c>
      <c r="J387" s="55"/>
    </row>
    <row r="388" spans="1:17" s="32" customFormat="1" ht="15.75">
      <c r="A388" s="148" t="s">
        <v>221</v>
      </c>
      <c r="B388" s="123"/>
      <c r="C388" s="152" t="s">
        <v>152</v>
      </c>
      <c r="D388" s="152" t="s">
        <v>197</v>
      </c>
      <c r="E388" s="210" t="s">
        <v>576</v>
      </c>
      <c r="F388" s="208" t="s">
        <v>222</v>
      </c>
      <c r="G388" s="74">
        <v>219.7</v>
      </c>
      <c r="Q388" s="44"/>
    </row>
    <row r="389" spans="1:17" s="32" customFormat="1" ht="26.25">
      <c r="A389" s="109" t="s">
        <v>634</v>
      </c>
      <c r="B389" s="123"/>
      <c r="C389" s="152" t="s">
        <v>152</v>
      </c>
      <c r="D389" s="152" t="s">
        <v>197</v>
      </c>
      <c r="E389" s="210" t="s">
        <v>633</v>
      </c>
      <c r="F389" s="208"/>
      <c r="G389" s="74">
        <f t="shared" si="3"/>
        <v>2926.8</v>
      </c>
      <c r="Q389" s="44"/>
    </row>
    <row r="390" spans="1:17" s="36" customFormat="1" ht="15.75">
      <c r="A390" s="147" t="s">
        <v>220</v>
      </c>
      <c r="B390" s="123"/>
      <c r="C390" s="152" t="s">
        <v>152</v>
      </c>
      <c r="D390" s="152" t="s">
        <v>197</v>
      </c>
      <c r="E390" s="210" t="s">
        <v>633</v>
      </c>
      <c r="F390" s="208" t="s">
        <v>206</v>
      </c>
      <c r="G390" s="74">
        <f t="shared" si="3"/>
        <v>2926.8</v>
      </c>
      <c r="Q390" s="43"/>
    </row>
    <row r="391" spans="1:17" s="32" customFormat="1" ht="15.75">
      <c r="A391" s="148" t="s">
        <v>221</v>
      </c>
      <c r="B391" s="123"/>
      <c r="C391" s="152" t="s">
        <v>152</v>
      </c>
      <c r="D391" s="152" t="s">
        <v>197</v>
      </c>
      <c r="E391" s="210" t="s">
        <v>633</v>
      </c>
      <c r="F391" s="208" t="s">
        <v>222</v>
      </c>
      <c r="G391" s="74">
        <v>2926.8</v>
      </c>
      <c r="Q391" s="44"/>
    </row>
    <row r="392" spans="1:17" s="32" customFormat="1" ht="26.25">
      <c r="A392" s="109" t="s">
        <v>383</v>
      </c>
      <c r="B392" s="123"/>
      <c r="C392" s="152" t="s">
        <v>152</v>
      </c>
      <c r="D392" s="152" t="s">
        <v>197</v>
      </c>
      <c r="E392" s="210" t="s">
        <v>384</v>
      </c>
      <c r="F392" s="208"/>
      <c r="G392" s="74">
        <f t="shared" si="3"/>
        <v>1148.5</v>
      </c>
      <c r="Q392" s="44"/>
    </row>
    <row r="393" spans="1:17" s="36" customFormat="1" ht="15.75">
      <c r="A393" s="147" t="s">
        <v>220</v>
      </c>
      <c r="B393" s="123"/>
      <c r="C393" s="152" t="s">
        <v>152</v>
      </c>
      <c r="D393" s="152" t="s">
        <v>197</v>
      </c>
      <c r="E393" s="210" t="s">
        <v>384</v>
      </c>
      <c r="F393" s="208" t="s">
        <v>206</v>
      </c>
      <c r="G393" s="74">
        <f t="shared" si="3"/>
        <v>1148.5</v>
      </c>
      <c r="Q393" s="43"/>
    </row>
    <row r="394" spans="1:17" s="36" customFormat="1" ht="15.75">
      <c r="A394" s="148" t="s">
        <v>221</v>
      </c>
      <c r="B394" s="123"/>
      <c r="C394" s="152" t="s">
        <v>152</v>
      </c>
      <c r="D394" s="152" t="s">
        <v>197</v>
      </c>
      <c r="E394" s="210" t="s">
        <v>384</v>
      </c>
      <c r="F394" s="208" t="s">
        <v>222</v>
      </c>
      <c r="G394" s="74">
        <v>1148.5</v>
      </c>
      <c r="Q394" s="43"/>
    </row>
    <row r="395" spans="1:17" s="36" customFormat="1" ht="25.5">
      <c r="A395" s="160" t="s">
        <v>436</v>
      </c>
      <c r="B395" s="161"/>
      <c r="C395" s="153" t="s">
        <v>152</v>
      </c>
      <c r="D395" s="153" t="s">
        <v>197</v>
      </c>
      <c r="E395" s="206" t="s">
        <v>44</v>
      </c>
      <c r="F395" s="207"/>
      <c r="G395" s="78">
        <f>G396</f>
        <v>3144.1</v>
      </c>
      <c r="Q395" s="43"/>
    </row>
    <row r="396" spans="1:17" s="36" customFormat="1" ht="15.75">
      <c r="A396" s="162" t="s">
        <v>447</v>
      </c>
      <c r="B396" s="163"/>
      <c r="C396" s="153" t="s">
        <v>152</v>
      </c>
      <c r="D396" s="153" t="s">
        <v>197</v>
      </c>
      <c r="E396" s="206" t="s">
        <v>263</v>
      </c>
      <c r="F396" s="207"/>
      <c r="G396" s="78">
        <f>G397+G400</f>
        <v>3144.1</v>
      </c>
      <c r="Q396" s="43"/>
    </row>
    <row r="397" spans="1:17" s="36" customFormat="1" ht="15.75">
      <c r="A397" s="148" t="s">
        <v>564</v>
      </c>
      <c r="B397" s="123"/>
      <c r="C397" s="152" t="s">
        <v>152</v>
      </c>
      <c r="D397" s="152" t="s">
        <v>197</v>
      </c>
      <c r="E397" s="202" t="s">
        <v>574</v>
      </c>
      <c r="F397" s="202"/>
      <c r="G397" s="74">
        <f>G398</f>
        <v>45</v>
      </c>
      <c r="Q397" s="73"/>
    </row>
    <row r="398" spans="1:17" s="36" customFormat="1" ht="15.75">
      <c r="A398" s="128" t="s">
        <v>220</v>
      </c>
      <c r="B398" s="111"/>
      <c r="C398" s="174" t="s">
        <v>152</v>
      </c>
      <c r="D398" s="174" t="s">
        <v>197</v>
      </c>
      <c r="E398" s="202" t="s">
        <v>574</v>
      </c>
      <c r="F398" s="202" t="s">
        <v>206</v>
      </c>
      <c r="G398" s="74">
        <f>G399</f>
        <v>45</v>
      </c>
      <c r="Q398" s="43"/>
    </row>
    <row r="399" spans="1:17" s="36" customFormat="1" ht="15.75">
      <c r="A399" s="135" t="s">
        <v>221</v>
      </c>
      <c r="B399" s="111"/>
      <c r="C399" s="174" t="s">
        <v>152</v>
      </c>
      <c r="D399" s="174" t="s">
        <v>197</v>
      </c>
      <c r="E399" s="202" t="s">
        <v>574</v>
      </c>
      <c r="F399" s="202" t="s">
        <v>222</v>
      </c>
      <c r="G399" s="74">
        <v>45</v>
      </c>
      <c r="Q399" s="43"/>
    </row>
    <row r="400" spans="1:17" s="36" customFormat="1" ht="15.75">
      <c r="A400" s="164" t="s">
        <v>379</v>
      </c>
      <c r="B400" s="149"/>
      <c r="C400" s="152" t="s">
        <v>152</v>
      </c>
      <c r="D400" s="152" t="s">
        <v>197</v>
      </c>
      <c r="E400" s="210" t="s">
        <v>321</v>
      </c>
      <c r="F400" s="208"/>
      <c r="G400" s="74">
        <f>G401</f>
        <v>3099.1</v>
      </c>
      <c r="Q400" s="43"/>
    </row>
    <row r="401" spans="1:17" s="36" customFormat="1" ht="15.75">
      <c r="A401" s="128" t="s">
        <v>220</v>
      </c>
      <c r="B401" s="111"/>
      <c r="C401" s="174" t="s">
        <v>152</v>
      </c>
      <c r="D401" s="174" t="s">
        <v>197</v>
      </c>
      <c r="E401" s="210" t="s">
        <v>321</v>
      </c>
      <c r="F401" s="202" t="s">
        <v>206</v>
      </c>
      <c r="G401" s="74">
        <f>G402</f>
        <v>3099.1</v>
      </c>
      <c r="Q401" s="43"/>
    </row>
    <row r="402" spans="1:17" s="36" customFormat="1" ht="15.75">
      <c r="A402" s="135" t="s">
        <v>221</v>
      </c>
      <c r="B402" s="111"/>
      <c r="C402" s="174" t="s">
        <v>152</v>
      </c>
      <c r="D402" s="174" t="s">
        <v>197</v>
      </c>
      <c r="E402" s="210" t="s">
        <v>321</v>
      </c>
      <c r="F402" s="202" t="s">
        <v>222</v>
      </c>
      <c r="G402" s="74">
        <v>3099.1</v>
      </c>
      <c r="Q402" s="43"/>
    </row>
    <row r="403" spans="1:17" s="36" customFormat="1" ht="15.75">
      <c r="A403" s="145" t="s">
        <v>435</v>
      </c>
      <c r="B403" s="107"/>
      <c r="C403" s="173" t="s">
        <v>152</v>
      </c>
      <c r="D403" s="173" t="s">
        <v>197</v>
      </c>
      <c r="E403" s="201" t="s">
        <v>93</v>
      </c>
      <c r="F403" s="203"/>
      <c r="G403" s="78">
        <f>G404</f>
        <v>214.7</v>
      </c>
      <c r="Q403" s="43"/>
    </row>
    <row r="404" spans="1:17" s="36" customFormat="1" ht="15.75">
      <c r="A404" s="165" t="s">
        <v>128</v>
      </c>
      <c r="B404" s="137"/>
      <c r="C404" s="174" t="s">
        <v>152</v>
      </c>
      <c r="D404" s="174" t="s">
        <v>197</v>
      </c>
      <c r="E404" s="200" t="s">
        <v>94</v>
      </c>
      <c r="F404" s="202"/>
      <c r="G404" s="74">
        <f>G405</f>
        <v>214.7</v>
      </c>
      <c r="Q404" s="43"/>
    </row>
    <row r="405" spans="1:17" s="36" customFormat="1" ht="15.75">
      <c r="A405" s="128" t="s">
        <v>220</v>
      </c>
      <c r="B405" s="137"/>
      <c r="C405" s="174" t="s">
        <v>152</v>
      </c>
      <c r="D405" s="174" t="s">
        <v>197</v>
      </c>
      <c r="E405" s="200" t="s">
        <v>94</v>
      </c>
      <c r="F405" s="202" t="s">
        <v>206</v>
      </c>
      <c r="G405" s="74">
        <f>G406</f>
        <v>214.7</v>
      </c>
      <c r="Q405" s="43"/>
    </row>
    <row r="406" spans="1:17" s="36" customFormat="1" ht="15.75">
      <c r="A406" s="135" t="s">
        <v>221</v>
      </c>
      <c r="B406" s="137"/>
      <c r="C406" s="174" t="s">
        <v>152</v>
      </c>
      <c r="D406" s="174" t="s">
        <v>197</v>
      </c>
      <c r="E406" s="200" t="s">
        <v>94</v>
      </c>
      <c r="F406" s="202" t="s">
        <v>222</v>
      </c>
      <c r="G406" s="74">
        <f>216.5-1.8</f>
        <v>214.7</v>
      </c>
      <c r="H406" s="41"/>
      <c r="I406" s="42"/>
      <c r="Q406" s="43"/>
    </row>
    <row r="407" spans="1:17" s="36" customFormat="1" ht="17.25" customHeight="1">
      <c r="A407" s="166" t="s">
        <v>280</v>
      </c>
      <c r="B407" s="107"/>
      <c r="C407" s="173" t="s">
        <v>152</v>
      </c>
      <c r="D407" s="173" t="s">
        <v>181</v>
      </c>
      <c r="E407" s="201"/>
      <c r="F407" s="202"/>
      <c r="G407" s="78">
        <f>G408+G450</f>
        <v>27858.899999999998</v>
      </c>
      <c r="H407" s="41"/>
      <c r="I407" s="42"/>
      <c r="Q407" s="43"/>
    </row>
    <row r="408" spans="1:17" s="36" customFormat="1" ht="15.75">
      <c r="A408" s="145" t="s">
        <v>443</v>
      </c>
      <c r="B408" s="153"/>
      <c r="C408" s="153" t="s">
        <v>152</v>
      </c>
      <c r="D408" s="153" t="s">
        <v>181</v>
      </c>
      <c r="E408" s="206" t="s">
        <v>13</v>
      </c>
      <c r="F408" s="202"/>
      <c r="G408" s="78">
        <f>G409</f>
        <v>27833.899999999998</v>
      </c>
      <c r="H408" s="41">
        <v>244</v>
      </c>
      <c r="I408" s="42">
        <f>500000+306000-5132.5</f>
        <v>800867.5</v>
      </c>
      <c r="Q408" s="43"/>
    </row>
    <row r="409" spans="1:17" s="36" customFormat="1" ht="15.75">
      <c r="A409" s="106" t="s">
        <v>442</v>
      </c>
      <c r="B409" s="138"/>
      <c r="C409" s="173" t="s">
        <v>152</v>
      </c>
      <c r="D409" s="173" t="s">
        <v>181</v>
      </c>
      <c r="E409" s="201" t="s">
        <v>36</v>
      </c>
      <c r="F409" s="203"/>
      <c r="G409" s="78">
        <f>G410+G420+G426+G429+G432+G435+G438+G441+G413+G423+G444+G447</f>
        <v>27833.899999999998</v>
      </c>
      <c r="H409" s="41"/>
      <c r="I409" s="42"/>
      <c r="Q409" s="43"/>
    </row>
    <row r="410" spans="1:17" s="36" customFormat="1" ht="15.75">
      <c r="A410" s="165" t="s">
        <v>127</v>
      </c>
      <c r="B410" s="111"/>
      <c r="C410" s="174" t="s">
        <v>152</v>
      </c>
      <c r="D410" s="174" t="s">
        <v>181</v>
      </c>
      <c r="E410" s="200" t="s">
        <v>37</v>
      </c>
      <c r="F410" s="202"/>
      <c r="G410" s="74">
        <f>G411</f>
        <v>12666.8</v>
      </c>
      <c r="H410" s="41"/>
      <c r="I410" s="42"/>
      <c r="Q410" s="43"/>
    </row>
    <row r="411" spans="1:17" s="36" customFormat="1" ht="18.75" customHeight="1">
      <c r="A411" s="128" t="s">
        <v>220</v>
      </c>
      <c r="B411" s="111"/>
      <c r="C411" s="174" t="s">
        <v>152</v>
      </c>
      <c r="D411" s="174" t="s">
        <v>181</v>
      </c>
      <c r="E411" s="200" t="s">
        <v>37</v>
      </c>
      <c r="F411" s="202" t="s">
        <v>206</v>
      </c>
      <c r="G411" s="74">
        <f>SUM(G412:G412)</f>
        <v>12666.8</v>
      </c>
      <c r="Q411" s="43"/>
    </row>
    <row r="412" spans="1:17" s="23" customFormat="1" ht="19.5" customHeight="1">
      <c r="A412" s="135" t="s">
        <v>225</v>
      </c>
      <c r="B412" s="107"/>
      <c r="C412" s="174" t="s">
        <v>152</v>
      </c>
      <c r="D412" s="174" t="s">
        <v>181</v>
      </c>
      <c r="E412" s="200" t="s">
        <v>37</v>
      </c>
      <c r="F412" s="202" t="s">
        <v>226</v>
      </c>
      <c r="G412" s="74">
        <v>12666.8</v>
      </c>
      <c r="Q412" s="72"/>
    </row>
    <row r="413" spans="1:17" s="23" customFormat="1" ht="15.75">
      <c r="A413" s="130" t="s">
        <v>506</v>
      </c>
      <c r="B413" s="137"/>
      <c r="C413" s="174" t="s">
        <v>152</v>
      </c>
      <c r="D413" s="174" t="s">
        <v>181</v>
      </c>
      <c r="E413" s="200" t="s">
        <v>504</v>
      </c>
      <c r="F413" s="202"/>
      <c r="G413" s="99">
        <f>G414+G418</f>
        <v>12624.900000000001</v>
      </c>
      <c r="Q413" s="72"/>
    </row>
    <row r="414" spans="1:17" s="23" customFormat="1" ht="15.75">
      <c r="A414" s="128" t="s">
        <v>220</v>
      </c>
      <c r="B414" s="137"/>
      <c r="C414" s="174" t="s">
        <v>152</v>
      </c>
      <c r="D414" s="174" t="s">
        <v>181</v>
      </c>
      <c r="E414" s="200" t="s">
        <v>504</v>
      </c>
      <c r="F414" s="202" t="s">
        <v>206</v>
      </c>
      <c r="G414" s="99">
        <f>G415+G416+G417</f>
        <v>12359.400000000001</v>
      </c>
      <c r="Q414" s="72"/>
    </row>
    <row r="415" spans="1:17" s="23" customFormat="1" ht="18" customHeight="1">
      <c r="A415" s="108" t="s">
        <v>221</v>
      </c>
      <c r="B415" s="111"/>
      <c r="C415" s="174" t="s">
        <v>152</v>
      </c>
      <c r="D415" s="174" t="s">
        <v>181</v>
      </c>
      <c r="E415" s="200" t="s">
        <v>504</v>
      </c>
      <c r="F415" s="202" t="s">
        <v>222</v>
      </c>
      <c r="G415" s="74">
        <v>265.6</v>
      </c>
      <c r="Q415" s="72"/>
    </row>
    <row r="416" spans="1:17" s="23" customFormat="1" ht="15.75">
      <c r="A416" s="135" t="s">
        <v>227</v>
      </c>
      <c r="B416" s="137"/>
      <c r="C416" s="174" t="s">
        <v>152</v>
      </c>
      <c r="D416" s="174" t="s">
        <v>181</v>
      </c>
      <c r="E416" s="200" t="s">
        <v>504</v>
      </c>
      <c r="F416" s="202" t="s">
        <v>226</v>
      </c>
      <c r="G416" s="99">
        <f>11562.6+265.6</f>
        <v>11828.2</v>
      </c>
      <c r="Q416" s="72"/>
    </row>
    <row r="417" spans="1:17" s="23" customFormat="1" ht="26.25">
      <c r="A417" s="108" t="s">
        <v>518</v>
      </c>
      <c r="B417" s="167"/>
      <c r="C417" s="174" t="s">
        <v>152</v>
      </c>
      <c r="D417" s="174" t="s">
        <v>181</v>
      </c>
      <c r="E417" s="202" t="s">
        <v>504</v>
      </c>
      <c r="F417" s="202" t="s">
        <v>236</v>
      </c>
      <c r="G417" s="74">
        <v>265.6</v>
      </c>
      <c r="Q417" s="72"/>
    </row>
    <row r="418" spans="1:17" s="36" customFormat="1" ht="15.75">
      <c r="A418" s="108" t="s">
        <v>107</v>
      </c>
      <c r="B418" s="167"/>
      <c r="C418" s="174" t="s">
        <v>152</v>
      </c>
      <c r="D418" s="174" t="s">
        <v>181</v>
      </c>
      <c r="E418" s="202" t="s">
        <v>504</v>
      </c>
      <c r="F418" s="202" t="s">
        <v>100</v>
      </c>
      <c r="G418" s="74">
        <f>G419</f>
        <v>265.5</v>
      </c>
      <c r="Q418" s="43"/>
    </row>
    <row r="419" spans="1:17" s="36" customFormat="1" ht="26.25">
      <c r="A419" s="108" t="s">
        <v>266</v>
      </c>
      <c r="B419" s="167"/>
      <c r="C419" s="174" t="s">
        <v>152</v>
      </c>
      <c r="D419" s="174" t="s">
        <v>181</v>
      </c>
      <c r="E419" s="202" t="s">
        <v>504</v>
      </c>
      <c r="F419" s="202" t="s">
        <v>101</v>
      </c>
      <c r="G419" s="74">
        <v>265.5</v>
      </c>
      <c r="Q419" s="43"/>
    </row>
    <row r="420" spans="1:17" s="36" customFormat="1" ht="15.75">
      <c r="A420" s="144" t="s">
        <v>253</v>
      </c>
      <c r="B420" s="107"/>
      <c r="C420" s="174" t="s">
        <v>152</v>
      </c>
      <c r="D420" s="174" t="s">
        <v>181</v>
      </c>
      <c r="E420" s="200" t="s">
        <v>255</v>
      </c>
      <c r="F420" s="202"/>
      <c r="G420" s="74">
        <f>G421</f>
        <v>122.8</v>
      </c>
      <c r="Q420" s="72"/>
    </row>
    <row r="421" spans="1:17" s="36" customFormat="1" ht="15.75">
      <c r="A421" s="128" t="s">
        <v>220</v>
      </c>
      <c r="B421" s="107"/>
      <c r="C421" s="174" t="s">
        <v>152</v>
      </c>
      <c r="D421" s="174" t="s">
        <v>181</v>
      </c>
      <c r="E421" s="200" t="s">
        <v>255</v>
      </c>
      <c r="F421" s="202" t="s">
        <v>206</v>
      </c>
      <c r="G421" s="74">
        <f>G422</f>
        <v>122.8</v>
      </c>
      <c r="Q421" s="43"/>
    </row>
    <row r="422" spans="1:17" s="36" customFormat="1" ht="15.75">
      <c r="A422" s="135" t="s">
        <v>225</v>
      </c>
      <c r="B422" s="107"/>
      <c r="C422" s="174" t="s">
        <v>152</v>
      </c>
      <c r="D422" s="174" t="s">
        <v>181</v>
      </c>
      <c r="E422" s="200" t="s">
        <v>255</v>
      </c>
      <c r="F422" s="202" t="s">
        <v>226</v>
      </c>
      <c r="G422" s="74">
        <v>122.8</v>
      </c>
      <c r="Q422" s="43"/>
    </row>
    <row r="423" spans="1:17" s="36" customFormat="1" ht="15.75">
      <c r="A423" s="144" t="s">
        <v>564</v>
      </c>
      <c r="B423" s="107"/>
      <c r="C423" s="174" t="s">
        <v>152</v>
      </c>
      <c r="D423" s="174" t="s">
        <v>181</v>
      </c>
      <c r="E423" s="200" t="s">
        <v>655</v>
      </c>
      <c r="F423" s="202"/>
      <c r="G423" s="74">
        <f>G424</f>
        <v>296.8</v>
      </c>
      <c r="Q423" s="43"/>
    </row>
    <row r="424" spans="1:17" s="36" customFormat="1" ht="15.75">
      <c r="A424" s="128" t="s">
        <v>220</v>
      </c>
      <c r="B424" s="107"/>
      <c r="C424" s="174" t="s">
        <v>152</v>
      </c>
      <c r="D424" s="174" t="s">
        <v>181</v>
      </c>
      <c r="E424" s="200" t="s">
        <v>655</v>
      </c>
      <c r="F424" s="202" t="s">
        <v>206</v>
      </c>
      <c r="G424" s="74">
        <f>G425</f>
        <v>296.8</v>
      </c>
      <c r="Q424" s="43"/>
    </row>
    <row r="425" spans="1:17" s="36" customFormat="1" ht="15.75">
      <c r="A425" s="135" t="s">
        <v>225</v>
      </c>
      <c r="B425" s="107"/>
      <c r="C425" s="174" t="s">
        <v>152</v>
      </c>
      <c r="D425" s="174" t="s">
        <v>181</v>
      </c>
      <c r="E425" s="200" t="s">
        <v>655</v>
      </c>
      <c r="F425" s="202" t="s">
        <v>226</v>
      </c>
      <c r="G425" s="74">
        <f>96.8+200</f>
        <v>296.8</v>
      </c>
      <c r="Q425" s="43"/>
    </row>
    <row r="426" spans="1:17" s="36" customFormat="1" ht="15.75">
      <c r="A426" s="108" t="s">
        <v>126</v>
      </c>
      <c r="B426" s="111"/>
      <c r="C426" s="174" t="s">
        <v>152</v>
      </c>
      <c r="D426" s="174" t="s">
        <v>181</v>
      </c>
      <c r="E426" s="200" t="s">
        <v>390</v>
      </c>
      <c r="F426" s="202"/>
      <c r="G426" s="74">
        <f>G427</f>
        <v>20</v>
      </c>
      <c r="Q426" s="43"/>
    </row>
    <row r="427" spans="1:17" s="36" customFormat="1" ht="15.75">
      <c r="A427" s="128" t="s">
        <v>220</v>
      </c>
      <c r="B427" s="111"/>
      <c r="C427" s="174" t="s">
        <v>152</v>
      </c>
      <c r="D427" s="174" t="s">
        <v>181</v>
      </c>
      <c r="E427" s="200" t="s">
        <v>390</v>
      </c>
      <c r="F427" s="202" t="s">
        <v>206</v>
      </c>
      <c r="G427" s="74">
        <f>G428</f>
        <v>20</v>
      </c>
      <c r="Q427" s="43"/>
    </row>
    <row r="428" spans="1:17" s="36" customFormat="1" ht="15.75">
      <c r="A428" s="135" t="s">
        <v>225</v>
      </c>
      <c r="B428" s="111"/>
      <c r="C428" s="174" t="s">
        <v>152</v>
      </c>
      <c r="D428" s="174" t="s">
        <v>181</v>
      </c>
      <c r="E428" s="200" t="s">
        <v>390</v>
      </c>
      <c r="F428" s="202" t="s">
        <v>226</v>
      </c>
      <c r="G428" s="74">
        <v>20</v>
      </c>
      <c r="Q428" s="43"/>
    </row>
    <row r="429" spans="1:17" s="36" customFormat="1" ht="15.75">
      <c r="A429" s="130" t="s">
        <v>368</v>
      </c>
      <c r="B429" s="107"/>
      <c r="C429" s="174" t="s">
        <v>202</v>
      </c>
      <c r="D429" s="174" t="s">
        <v>181</v>
      </c>
      <c r="E429" s="200" t="s">
        <v>433</v>
      </c>
      <c r="F429" s="202"/>
      <c r="G429" s="74">
        <f>G430</f>
        <v>435</v>
      </c>
      <c r="Q429" s="43"/>
    </row>
    <row r="430" spans="1:17" s="36" customFormat="1" ht="15.75">
      <c r="A430" s="128" t="s">
        <v>220</v>
      </c>
      <c r="B430" s="107"/>
      <c r="C430" s="174" t="s">
        <v>152</v>
      </c>
      <c r="D430" s="174" t="s">
        <v>181</v>
      </c>
      <c r="E430" s="200" t="s">
        <v>433</v>
      </c>
      <c r="F430" s="202" t="s">
        <v>206</v>
      </c>
      <c r="G430" s="74">
        <f>G431</f>
        <v>435</v>
      </c>
      <c r="Q430" s="43"/>
    </row>
    <row r="431" spans="1:17" s="36" customFormat="1" ht="15.75">
      <c r="A431" s="135" t="s">
        <v>227</v>
      </c>
      <c r="B431" s="107"/>
      <c r="C431" s="174" t="s">
        <v>152</v>
      </c>
      <c r="D431" s="174" t="s">
        <v>181</v>
      </c>
      <c r="E431" s="200" t="s">
        <v>433</v>
      </c>
      <c r="F431" s="202" t="s">
        <v>226</v>
      </c>
      <c r="G431" s="74">
        <v>435</v>
      </c>
      <c r="Q431" s="43"/>
    </row>
    <row r="432" spans="1:17" s="36" customFormat="1" ht="15.75">
      <c r="A432" s="130" t="s">
        <v>361</v>
      </c>
      <c r="B432" s="107"/>
      <c r="C432" s="174" t="s">
        <v>202</v>
      </c>
      <c r="D432" s="174" t="s">
        <v>181</v>
      </c>
      <c r="E432" s="200" t="s">
        <v>569</v>
      </c>
      <c r="F432" s="202"/>
      <c r="G432" s="74">
        <f>G433</f>
        <v>269.9</v>
      </c>
      <c r="Q432" s="43"/>
    </row>
    <row r="433" spans="1:17" s="36" customFormat="1" ht="15.75">
      <c r="A433" s="128" t="s">
        <v>220</v>
      </c>
      <c r="B433" s="107"/>
      <c r="C433" s="174" t="s">
        <v>152</v>
      </c>
      <c r="D433" s="174" t="s">
        <v>181</v>
      </c>
      <c r="E433" s="200" t="s">
        <v>569</v>
      </c>
      <c r="F433" s="202" t="s">
        <v>206</v>
      </c>
      <c r="G433" s="74">
        <f>G434</f>
        <v>269.9</v>
      </c>
      <c r="Q433" s="43"/>
    </row>
    <row r="434" spans="1:17" s="36" customFormat="1" ht="15.75">
      <c r="A434" s="135" t="s">
        <v>227</v>
      </c>
      <c r="B434" s="107"/>
      <c r="C434" s="174" t="s">
        <v>152</v>
      </c>
      <c r="D434" s="174" t="s">
        <v>181</v>
      </c>
      <c r="E434" s="200" t="s">
        <v>569</v>
      </c>
      <c r="F434" s="202" t="s">
        <v>226</v>
      </c>
      <c r="G434" s="74">
        <v>269.9</v>
      </c>
      <c r="Q434" s="43"/>
    </row>
    <row r="435" spans="1:17" s="36" customFormat="1" ht="15.75">
      <c r="A435" s="130" t="s">
        <v>324</v>
      </c>
      <c r="B435" s="107"/>
      <c r="C435" s="174" t="s">
        <v>202</v>
      </c>
      <c r="D435" s="174" t="s">
        <v>181</v>
      </c>
      <c r="E435" s="202" t="s">
        <v>474</v>
      </c>
      <c r="F435" s="202"/>
      <c r="G435" s="74">
        <f>G436</f>
        <v>39</v>
      </c>
      <c r="Q435" s="43"/>
    </row>
    <row r="436" spans="1:17" s="36" customFormat="1" ht="15.75">
      <c r="A436" s="128" t="s">
        <v>220</v>
      </c>
      <c r="B436" s="107"/>
      <c r="C436" s="174" t="s">
        <v>152</v>
      </c>
      <c r="D436" s="174" t="s">
        <v>181</v>
      </c>
      <c r="E436" s="202" t="s">
        <v>474</v>
      </c>
      <c r="F436" s="202" t="s">
        <v>206</v>
      </c>
      <c r="G436" s="74">
        <f>G437</f>
        <v>39</v>
      </c>
      <c r="Q436" s="43"/>
    </row>
    <row r="437" spans="1:17" s="36" customFormat="1" ht="15.75">
      <c r="A437" s="108" t="s">
        <v>227</v>
      </c>
      <c r="B437" s="107"/>
      <c r="C437" s="174" t="s">
        <v>152</v>
      </c>
      <c r="D437" s="174" t="s">
        <v>181</v>
      </c>
      <c r="E437" s="202" t="s">
        <v>474</v>
      </c>
      <c r="F437" s="202" t="s">
        <v>226</v>
      </c>
      <c r="G437" s="74">
        <v>39</v>
      </c>
      <c r="Q437" s="43"/>
    </row>
    <row r="438" spans="1:17" s="36" customFormat="1" ht="15.75">
      <c r="A438" s="144" t="s">
        <v>325</v>
      </c>
      <c r="B438" s="137"/>
      <c r="C438" s="174" t="s">
        <v>152</v>
      </c>
      <c r="D438" s="174" t="s">
        <v>181</v>
      </c>
      <c r="E438" s="200" t="s">
        <v>38</v>
      </c>
      <c r="F438" s="202"/>
      <c r="G438" s="74">
        <f>G439</f>
        <v>608.7</v>
      </c>
      <c r="Q438" s="43"/>
    </row>
    <row r="439" spans="1:17" s="36" customFormat="1" ht="15.75">
      <c r="A439" s="128" t="s">
        <v>220</v>
      </c>
      <c r="B439" s="137"/>
      <c r="C439" s="174" t="s">
        <v>152</v>
      </c>
      <c r="D439" s="174" t="s">
        <v>181</v>
      </c>
      <c r="E439" s="200" t="s">
        <v>38</v>
      </c>
      <c r="F439" s="202" t="s">
        <v>206</v>
      </c>
      <c r="G439" s="74">
        <f>SUM(G440:G440)</f>
        <v>608.7</v>
      </c>
      <c r="Q439" s="43"/>
    </row>
    <row r="440" spans="1:17" s="36" customFormat="1" ht="15.75">
      <c r="A440" s="135" t="s">
        <v>225</v>
      </c>
      <c r="B440" s="137"/>
      <c r="C440" s="174" t="s">
        <v>152</v>
      </c>
      <c r="D440" s="174" t="s">
        <v>181</v>
      </c>
      <c r="E440" s="200" t="s">
        <v>38</v>
      </c>
      <c r="F440" s="202" t="s">
        <v>226</v>
      </c>
      <c r="G440" s="74">
        <f>595.5+13.2</f>
        <v>608.7</v>
      </c>
      <c r="Q440" s="43"/>
    </row>
    <row r="441" spans="1:17" s="36" customFormat="1" ht="15.75" hidden="1">
      <c r="A441" s="144" t="s">
        <v>326</v>
      </c>
      <c r="B441" s="111"/>
      <c r="C441" s="174" t="s">
        <v>152</v>
      </c>
      <c r="D441" s="174" t="s">
        <v>181</v>
      </c>
      <c r="E441" s="200" t="s">
        <v>42</v>
      </c>
      <c r="F441" s="202"/>
      <c r="G441" s="74">
        <f>G442</f>
        <v>150</v>
      </c>
      <c r="Q441" s="43"/>
    </row>
    <row r="442" spans="1:17" s="36" customFormat="1" ht="15.75" hidden="1">
      <c r="A442" s="128" t="s">
        <v>220</v>
      </c>
      <c r="B442" s="111"/>
      <c r="C442" s="174" t="s">
        <v>152</v>
      </c>
      <c r="D442" s="174" t="s">
        <v>181</v>
      </c>
      <c r="E442" s="200" t="s">
        <v>42</v>
      </c>
      <c r="F442" s="202" t="s">
        <v>206</v>
      </c>
      <c r="G442" s="74">
        <f>SUM(G443:G443)</f>
        <v>150</v>
      </c>
      <c r="Q442" s="43"/>
    </row>
    <row r="443" spans="1:17" s="36" customFormat="1" ht="15.75" hidden="1">
      <c r="A443" s="135" t="s">
        <v>225</v>
      </c>
      <c r="B443" s="107"/>
      <c r="C443" s="174" t="s">
        <v>152</v>
      </c>
      <c r="D443" s="174" t="s">
        <v>181</v>
      </c>
      <c r="E443" s="200" t="s">
        <v>42</v>
      </c>
      <c r="F443" s="202" t="s">
        <v>226</v>
      </c>
      <c r="G443" s="74">
        <v>150</v>
      </c>
      <c r="Q443" s="43"/>
    </row>
    <row r="444" spans="1:17" s="36" customFormat="1" ht="15.75">
      <c r="A444" s="144" t="s">
        <v>680</v>
      </c>
      <c r="B444" s="111"/>
      <c r="C444" s="174" t="s">
        <v>152</v>
      </c>
      <c r="D444" s="174" t="s">
        <v>181</v>
      </c>
      <c r="E444" s="200" t="s">
        <v>686</v>
      </c>
      <c r="F444" s="202"/>
      <c r="G444" s="74">
        <f>G445</f>
        <v>600</v>
      </c>
      <c r="Q444" s="43"/>
    </row>
    <row r="445" spans="1:17" s="36" customFormat="1" ht="15.75">
      <c r="A445" s="128" t="s">
        <v>220</v>
      </c>
      <c r="B445" s="111"/>
      <c r="C445" s="174" t="s">
        <v>152</v>
      </c>
      <c r="D445" s="174" t="s">
        <v>181</v>
      </c>
      <c r="E445" s="200" t="s">
        <v>686</v>
      </c>
      <c r="F445" s="202" t="s">
        <v>206</v>
      </c>
      <c r="G445" s="74">
        <f>SUM(G446:G446)</f>
        <v>600</v>
      </c>
      <c r="Q445" s="43"/>
    </row>
    <row r="446" spans="1:17" s="36" customFormat="1" ht="15.75">
      <c r="A446" s="135" t="s">
        <v>225</v>
      </c>
      <c r="B446" s="107"/>
      <c r="C446" s="174" t="s">
        <v>152</v>
      </c>
      <c r="D446" s="174" t="s">
        <v>181</v>
      </c>
      <c r="E446" s="200" t="s">
        <v>686</v>
      </c>
      <c r="F446" s="202" t="s">
        <v>226</v>
      </c>
      <c r="G446" s="74">
        <v>600</v>
      </c>
      <c r="Q446" s="43"/>
    </row>
    <row r="447" spans="1:17" s="36" customFormat="1" ht="36.75" hidden="1">
      <c r="A447" s="170" t="s">
        <v>694</v>
      </c>
      <c r="B447" s="107"/>
      <c r="C447" s="174" t="s">
        <v>152</v>
      </c>
      <c r="D447" s="174" t="s">
        <v>181</v>
      </c>
      <c r="E447" s="200" t="s">
        <v>695</v>
      </c>
      <c r="F447" s="202"/>
      <c r="G447" s="74">
        <f>G448</f>
        <v>0</v>
      </c>
      <c r="Q447" s="43"/>
    </row>
    <row r="448" spans="1:17" s="36" customFormat="1" ht="15.75" hidden="1">
      <c r="A448" s="169" t="s">
        <v>220</v>
      </c>
      <c r="B448" s="107"/>
      <c r="C448" s="174" t="s">
        <v>152</v>
      </c>
      <c r="D448" s="174" t="s">
        <v>181</v>
      </c>
      <c r="E448" s="200" t="s">
        <v>695</v>
      </c>
      <c r="F448" s="202" t="s">
        <v>206</v>
      </c>
      <c r="G448" s="74">
        <f>G449</f>
        <v>0</v>
      </c>
      <c r="Q448" s="43"/>
    </row>
    <row r="449" spans="1:17" s="36" customFormat="1" ht="15.75" hidden="1">
      <c r="A449" s="170" t="s">
        <v>225</v>
      </c>
      <c r="B449" s="107"/>
      <c r="C449" s="174" t="s">
        <v>152</v>
      </c>
      <c r="D449" s="174" t="s">
        <v>181</v>
      </c>
      <c r="E449" s="200" t="s">
        <v>695</v>
      </c>
      <c r="F449" s="202" t="s">
        <v>226</v>
      </c>
      <c r="G449" s="74">
        <f>418.5-418.5</f>
        <v>0</v>
      </c>
      <c r="Q449" s="43"/>
    </row>
    <row r="450" spans="1:17" s="36" customFormat="1" ht="15.75">
      <c r="A450" s="145" t="s">
        <v>673</v>
      </c>
      <c r="B450" s="153"/>
      <c r="C450" s="153" t="s">
        <v>152</v>
      </c>
      <c r="D450" s="153" t="s">
        <v>181</v>
      </c>
      <c r="E450" s="206" t="s">
        <v>93</v>
      </c>
      <c r="F450" s="202"/>
      <c r="G450" s="78">
        <f>G451</f>
        <v>25</v>
      </c>
      <c r="Q450" s="43"/>
    </row>
    <row r="451" spans="1:17" s="36" customFormat="1" ht="15.75">
      <c r="A451" s="165" t="s">
        <v>128</v>
      </c>
      <c r="B451" s="111"/>
      <c r="C451" s="174" t="s">
        <v>152</v>
      </c>
      <c r="D451" s="174" t="s">
        <v>181</v>
      </c>
      <c r="E451" s="200" t="s">
        <v>94</v>
      </c>
      <c r="F451" s="202"/>
      <c r="G451" s="74">
        <f>G452</f>
        <v>25</v>
      </c>
      <c r="Q451" s="43"/>
    </row>
    <row r="452" spans="1:17" s="36" customFormat="1" ht="15.75">
      <c r="A452" s="128" t="s">
        <v>220</v>
      </c>
      <c r="B452" s="111"/>
      <c r="C452" s="174" t="s">
        <v>152</v>
      </c>
      <c r="D452" s="174" t="s">
        <v>181</v>
      </c>
      <c r="E452" s="200" t="s">
        <v>94</v>
      </c>
      <c r="F452" s="202" t="s">
        <v>206</v>
      </c>
      <c r="G452" s="74">
        <f>SUM(G453:G453)</f>
        <v>25</v>
      </c>
      <c r="Q452" s="43"/>
    </row>
    <row r="453" spans="1:17" s="36" customFormat="1" ht="15.75">
      <c r="A453" s="135" t="s">
        <v>225</v>
      </c>
      <c r="B453" s="107"/>
      <c r="C453" s="174" t="s">
        <v>152</v>
      </c>
      <c r="D453" s="174" t="s">
        <v>181</v>
      </c>
      <c r="E453" s="200" t="s">
        <v>94</v>
      </c>
      <c r="F453" s="202" t="s">
        <v>226</v>
      </c>
      <c r="G453" s="74">
        <v>25</v>
      </c>
      <c r="Q453" s="43"/>
    </row>
    <row r="454" spans="1:17" s="36" customFormat="1" ht="15.75">
      <c r="A454" s="106" t="s">
        <v>273</v>
      </c>
      <c r="B454" s="137"/>
      <c r="C454" s="173" t="s">
        <v>152</v>
      </c>
      <c r="D454" s="173" t="s">
        <v>152</v>
      </c>
      <c r="E454" s="201"/>
      <c r="F454" s="203"/>
      <c r="G454" s="98">
        <f>G455+G462</f>
        <v>4278.3</v>
      </c>
      <c r="Q454" s="43"/>
    </row>
    <row r="455" spans="1:17" s="36" customFormat="1" ht="15.75">
      <c r="A455" s="160" t="s">
        <v>438</v>
      </c>
      <c r="B455" s="113"/>
      <c r="C455" s="173" t="s">
        <v>152</v>
      </c>
      <c r="D455" s="173" t="s">
        <v>152</v>
      </c>
      <c r="E455" s="202" t="s">
        <v>439</v>
      </c>
      <c r="F455" s="202"/>
      <c r="G455" s="78">
        <f>G456+G459</f>
        <v>312.3</v>
      </c>
      <c r="Q455" s="43"/>
    </row>
    <row r="456" spans="1:17" s="36" customFormat="1" ht="15.75">
      <c r="A456" s="168" t="s">
        <v>115</v>
      </c>
      <c r="B456" s="113"/>
      <c r="C456" s="174" t="s">
        <v>152</v>
      </c>
      <c r="D456" s="174" t="s">
        <v>152</v>
      </c>
      <c r="E456" s="202" t="s">
        <v>464</v>
      </c>
      <c r="F456" s="202"/>
      <c r="G456" s="74">
        <f>G457</f>
        <v>40</v>
      </c>
      <c r="Q456" s="43"/>
    </row>
    <row r="457" spans="1:17" s="36" customFormat="1" ht="15.75">
      <c r="A457" s="169" t="s">
        <v>220</v>
      </c>
      <c r="B457" s="113"/>
      <c r="C457" s="174" t="s">
        <v>152</v>
      </c>
      <c r="D457" s="174" t="s">
        <v>152</v>
      </c>
      <c r="E457" s="202" t="s">
        <v>464</v>
      </c>
      <c r="F457" s="202" t="s">
        <v>206</v>
      </c>
      <c r="G457" s="74">
        <f>G458</f>
        <v>40</v>
      </c>
      <c r="Q457" s="43"/>
    </row>
    <row r="458" spans="1:17" s="36" customFormat="1" ht="15.75">
      <c r="A458" s="170" t="s">
        <v>221</v>
      </c>
      <c r="B458" s="113"/>
      <c r="C458" s="174" t="s">
        <v>152</v>
      </c>
      <c r="D458" s="174" t="s">
        <v>152</v>
      </c>
      <c r="E458" s="202" t="s">
        <v>464</v>
      </c>
      <c r="F458" s="202" t="s">
        <v>222</v>
      </c>
      <c r="G458" s="74">
        <v>40</v>
      </c>
      <c r="Q458" s="43"/>
    </row>
    <row r="459" spans="1:17" s="36" customFormat="1" ht="15.75">
      <c r="A459" s="112" t="s">
        <v>380</v>
      </c>
      <c r="B459" s="113"/>
      <c r="C459" s="174" t="s">
        <v>152</v>
      </c>
      <c r="D459" s="174" t="s">
        <v>152</v>
      </c>
      <c r="E459" s="202" t="s">
        <v>487</v>
      </c>
      <c r="F459" s="202"/>
      <c r="G459" s="74">
        <f>SUM(G460)</f>
        <v>272.3</v>
      </c>
      <c r="Q459" s="43"/>
    </row>
    <row r="460" spans="1:17" s="36" customFormat="1" ht="15.75">
      <c r="A460" s="128" t="s">
        <v>220</v>
      </c>
      <c r="B460" s="111"/>
      <c r="C460" s="174" t="s">
        <v>152</v>
      </c>
      <c r="D460" s="174" t="s">
        <v>152</v>
      </c>
      <c r="E460" s="202" t="s">
        <v>487</v>
      </c>
      <c r="F460" s="202" t="s">
        <v>206</v>
      </c>
      <c r="G460" s="74">
        <f>G461</f>
        <v>272.3</v>
      </c>
      <c r="Q460" s="43"/>
    </row>
    <row r="461" spans="1:17" s="36" customFormat="1" ht="15.75">
      <c r="A461" s="135" t="s">
        <v>221</v>
      </c>
      <c r="B461" s="113"/>
      <c r="C461" s="174" t="s">
        <v>152</v>
      </c>
      <c r="D461" s="174" t="s">
        <v>152</v>
      </c>
      <c r="E461" s="202" t="s">
        <v>487</v>
      </c>
      <c r="F461" s="202" t="s">
        <v>222</v>
      </c>
      <c r="G461" s="74">
        <v>272.3</v>
      </c>
      <c r="Q461" s="43"/>
    </row>
    <row r="462" spans="1:17" s="36" customFormat="1" ht="15.75">
      <c r="A462" s="134" t="s">
        <v>281</v>
      </c>
      <c r="B462" s="107"/>
      <c r="C462" s="173" t="s">
        <v>152</v>
      </c>
      <c r="D462" s="173" t="s">
        <v>152</v>
      </c>
      <c r="E462" s="201" t="s">
        <v>276</v>
      </c>
      <c r="F462" s="203"/>
      <c r="G462" s="98">
        <f>G463+G471</f>
        <v>3966</v>
      </c>
      <c r="Q462" s="43"/>
    </row>
    <row r="463" spans="1:17" s="36" customFormat="1" ht="15.75">
      <c r="A463" s="166" t="s">
        <v>232</v>
      </c>
      <c r="B463" s="107"/>
      <c r="C463" s="173" t="s">
        <v>152</v>
      </c>
      <c r="D463" s="173" t="s">
        <v>152</v>
      </c>
      <c r="E463" s="201" t="s">
        <v>277</v>
      </c>
      <c r="F463" s="203"/>
      <c r="G463" s="78">
        <f>G464+G468</f>
        <v>3015.1</v>
      </c>
      <c r="Q463" s="43"/>
    </row>
    <row r="464" spans="1:17" s="36" customFormat="1" ht="15.75">
      <c r="A464" s="112" t="s">
        <v>129</v>
      </c>
      <c r="B464" s="107"/>
      <c r="C464" s="174" t="s">
        <v>152</v>
      </c>
      <c r="D464" s="174" t="s">
        <v>152</v>
      </c>
      <c r="E464" s="200" t="s">
        <v>278</v>
      </c>
      <c r="F464" s="202"/>
      <c r="G464" s="74">
        <f>G465</f>
        <v>204.70000000000002</v>
      </c>
      <c r="Q464" s="43"/>
    </row>
    <row r="465" spans="1:7" ht="15.75">
      <c r="A465" s="128" t="s">
        <v>220</v>
      </c>
      <c r="B465" s="107"/>
      <c r="C465" s="174" t="s">
        <v>152</v>
      </c>
      <c r="D465" s="174" t="s">
        <v>152</v>
      </c>
      <c r="E465" s="200" t="s">
        <v>278</v>
      </c>
      <c r="F465" s="202" t="s">
        <v>206</v>
      </c>
      <c r="G465" s="74">
        <f>G466+G467</f>
        <v>204.70000000000002</v>
      </c>
    </row>
    <row r="466" spans="1:7" ht="15.75">
      <c r="A466" s="135" t="s">
        <v>221</v>
      </c>
      <c r="B466" s="107"/>
      <c r="C466" s="174" t="s">
        <v>152</v>
      </c>
      <c r="D466" s="174" t="s">
        <v>152</v>
      </c>
      <c r="E466" s="200" t="s">
        <v>278</v>
      </c>
      <c r="F466" s="202" t="s">
        <v>222</v>
      </c>
      <c r="G466" s="74">
        <f>205.1-4.7</f>
        <v>200.4</v>
      </c>
    </row>
    <row r="467" spans="1:7" ht="15.75">
      <c r="A467" s="135" t="s">
        <v>227</v>
      </c>
      <c r="B467" s="107"/>
      <c r="C467" s="174" t="s">
        <v>152</v>
      </c>
      <c r="D467" s="174" t="s">
        <v>152</v>
      </c>
      <c r="E467" s="200" t="s">
        <v>278</v>
      </c>
      <c r="F467" s="202" t="s">
        <v>226</v>
      </c>
      <c r="G467" s="74">
        <v>4.3</v>
      </c>
    </row>
    <row r="468" spans="1:7" ht="26.25">
      <c r="A468" s="109" t="s">
        <v>332</v>
      </c>
      <c r="B468" s="107"/>
      <c r="C468" s="174" t="s">
        <v>152</v>
      </c>
      <c r="D468" s="174" t="s">
        <v>152</v>
      </c>
      <c r="E468" s="200" t="s">
        <v>283</v>
      </c>
      <c r="F468" s="202"/>
      <c r="G468" s="74">
        <f>G469</f>
        <v>2810.4</v>
      </c>
    </row>
    <row r="469" spans="1:7" ht="15.75">
      <c r="A469" s="128" t="s">
        <v>220</v>
      </c>
      <c r="B469" s="107"/>
      <c r="C469" s="174" t="s">
        <v>152</v>
      </c>
      <c r="D469" s="174" t="s">
        <v>152</v>
      </c>
      <c r="E469" s="200" t="s">
        <v>283</v>
      </c>
      <c r="F469" s="202" t="s">
        <v>206</v>
      </c>
      <c r="G469" s="74">
        <f>SUM(G470:G470)</f>
        <v>2810.4</v>
      </c>
    </row>
    <row r="470" spans="1:17" s="32" customFormat="1" ht="15.75">
      <c r="A470" s="135" t="s">
        <v>221</v>
      </c>
      <c r="B470" s="107"/>
      <c r="C470" s="174" t="s">
        <v>152</v>
      </c>
      <c r="D470" s="174" t="s">
        <v>152</v>
      </c>
      <c r="E470" s="200" t="s">
        <v>283</v>
      </c>
      <c r="F470" s="202" t="s">
        <v>222</v>
      </c>
      <c r="G470" s="74">
        <v>2810.4</v>
      </c>
      <c r="Q470" s="44"/>
    </row>
    <row r="471" spans="1:17" s="32" customFormat="1" ht="15.75">
      <c r="A471" s="134" t="s">
        <v>231</v>
      </c>
      <c r="B471" s="107"/>
      <c r="C471" s="173" t="s">
        <v>152</v>
      </c>
      <c r="D471" s="173" t="s">
        <v>152</v>
      </c>
      <c r="E471" s="201" t="s">
        <v>279</v>
      </c>
      <c r="F471" s="203"/>
      <c r="G471" s="98">
        <f>G472+G475+G478</f>
        <v>950.9</v>
      </c>
      <c r="Q471" s="44"/>
    </row>
    <row r="472" spans="1:17" s="32" customFormat="1" ht="15.75">
      <c r="A472" s="148" t="s">
        <v>323</v>
      </c>
      <c r="B472" s="111"/>
      <c r="C472" s="174" t="s">
        <v>152</v>
      </c>
      <c r="D472" s="174" t="s">
        <v>152</v>
      </c>
      <c r="E472" s="200" t="s">
        <v>347</v>
      </c>
      <c r="F472" s="202"/>
      <c r="G472" s="74">
        <f>G473</f>
        <v>500</v>
      </c>
      <c r="Q472" s="44"/>
    </row>
    <row r="473" spans="1:17" s="32" customFormat="1" ht="15.75">
      <c r="A473" s="147" t="s">
        <v>220</v>
      </c>
      <c r="B473" s="111"/>
      <c r="C473" s="174" t="s">
        <v>152</v>
      </c>
      <c r="D473" s="174" t="s">
        <v>152</v>
      </c>
      <c r="E473" s="200" t="s">
        <v>347</v>
      </c>
      <c r="F473" s="202" t="s">
        <v>206</v>
      </c>
      <c r="G473" s="74">
        <f>G474</f>
        <v>500</v>
      </c>
      <c r="Q473" s="44"/>
    </row>
    <row r="474" spans="1:17" s="32" customFormat="1" ht="15.75">
      <c r="A474" s="148" t="s">
        <v>227</v>
      </c>
      <c r="B474" s="111"/>
      <c r="C474" s="174" t="s">
        <v>152</v>
      </c>
      <c r="D474" s="174" t="s">
        <v>152</v>
      </c>
      <c r="E474" s="200" t="s">
        <v>347</v>
      </c>
      <c r="F474" s="202" t="s">
        <v>226</v>
      </c>
      <c r="G474" s="74">
        <v>500</v>
      </c>
      <c r="Q474" s="44"/>
    </row>
    <row r="475" spans="1:17" s="32" customFormat="1" ht="15.75">
      <c r="A475" s="144" t="s">
        <v>325</v>
      </c>
      <c r="B475" s="111"/>
      <c r="C475" s="174" t="s">
        <v>152</v>
      </c>
      <c r="D475" s="174" t="s">
        <v>152</v>
      </c>
      <c r="E475" s="200" t="s">
        <v>346</v>
      </c>
      <c r="F475" s="202"/>
      <c r="G475" s="74">
        <f>G476</f>
        <v>350.9</v>
      </c>
      <c r="Q475" s="44"/>
    </row>
    <row r="476" spans="1:17" s="32" customFormat="1" ht="15.75">
      <c r="A476" s="128" t="s">
        <v>220</v>
      </c>
      <c r="B476" s="111"/>
      <c r="C476" s="174" t="s">
        <v>152</v>
      </c>
      <c r="D476" s="174" t="s">
        <v>152</v>
      </c>
      <c r="E476" s="200" t="s">
        <v>346</v>
      </c>
      <c r="F476" s="202" t="s">
        <v>206</v>
      </c>
      <c r="G476" s="74">
        <f>G477</f>
        <v>350.9</v>
      </c>
      <c r="Q476" s="44"/>
    </row>
    <row r="477" spans="1:17" s="36" customFormat="1" ht="15.75">
      <c r="A477" s="148" t="s">
        <v>227</v>
      </c>
      <c r="B477" s="111"/>
      <c r="C477" s="174" t="s">
        <v>152</v>
      </c>
      <c r="D477" s="174" t="s">
        <v>152</v>
      </c>
      <c r="E477" s="200" t="s">
        <v>346</v>
      </c>
      <c r="F477" s="202" t="s">
        <v>226</v>
      </c>
      <c r="G477" s="74">
        <v>350.9</v>
      </c>
      <c r="Q477" s="43"/>
    </row>
    <row r="478" spans="1:17" s="36" customFormat="1" ht="15.75">
      <c r="A478" s="144" t="s">
        <v>326</v>
      </c>
      <c r="B478" s="111"/>
      <c r="C478" s="174" t="s">
        <v>152</v>
      </c>
      <c r="D478" s="174" t="s">
        <v>152</v>
      </c>
      <c r="E478" s="200" t="s">
        <v>475</v>
      </c>
      <c r="F478" s="202"/>
      <c r="G478" s="74">
        <f>G479</f>
        <v>100</v>
      </c>
      <c r="Q478" s="43"/>
    </row>
    <row r="479" spans="1:17" s="36" customFormat="1" ht="15.75">
      <c r="A479" s="128" t="s">
        <v>220</v>
      </c>
      <c r="B479" s="111"/>
      <c r="C479" s="174" t="s">
        <v>152</v>
      </c>
      <c r="D479" s="174" t="s">
        <v>152</v>
      </c>
      <c r="E479" s="200" t="s">
        <v>475</v>
      </c>
      <c r="F479" s="202" t="s">
        <v>206</v>
      </c>
      <c r="G479" s="74">
        <f>G480</f>
        <v>100</v>
      </c>
      <c r="Q479" s="43"/>
    </row>
    <row r="480" spans="1:17" s="36" customFormat="1" ht="15.75">
      <c r="A480" s="148" t="s">
        <v>227</v>
      </c>
      <c r="B480" s="111"/>
      <c r="C480" s="174" t="s">
        <v>152</v>
      </c>
      <c r="D480" s="174" t="s">
        <v>152</v>
      </c>
      <c r="E480" s="200" t="s">
        <v>475</v>
      </c>
      <c r="F480" s="202" t="s">
        <v>226</v>
      </c>
      <c r="G480" s="74">
        <v>100</v>
      </c>
      <c r="Q480" s="43"/>
    </row>
    <row r="481" spans="1:17" s="36" customFormat="1" ht="15.75">
      <c r="A481" s="106" t="s">
        <v>148</v>
      </c>
      <c r="B481" s="115"/>
      <c r="C481" s="173" t="s">
        <v>152</v>
      </c>
      <c r="D481" s="173" t="s">
        <v>194</v>
      </c>
      <c r="E481" s="201"/>
      <c r="F481" s="203"/>
      <c r="G481" s="98">
        <f>G482</f>
        <v>12656.099999999999</v>
      </c>
      <c r="Q481" s="43"/>
    </row>
    <row r="482" spans="1:17" s="36" customFormat="1" ht="15.75">
      <c r="A482" s="145" t="s">
        <v>443</v>
      </c>
      <c r="B482" s="115"/>
      <c r="C482" s="173" t="s">
        <v>152</v>
      </c>
      <c r="D482" s="173" t="s">
        <v>194</v>
      </c>
      <c r="E482" s="201" t="s">
        <v>13</v>
      </c>
      <c r="F482" s="203"/>
      <c r="G482" s="98">
        <f>G483</f>
        <v>12656.099999999999</v>
      </c>
      <c r="Q482" s="43"/>
    </row>
    <row r="483" spans="1:17" s="36" customFormat="1" ht="15.75">
      <c r="A483" s="106" t="s">
        <v>495</v>
      </c>
      <c r="B483" s="115"/>
      <c r="C483" s="173" t="s">
        <v>152</v>
      </c>
      <c r="D483" s="173" t="s">
        <v>194</v>
      </c>
      <c r="E483" s="201" t="s">
        <v>494</v>
      </c>
      <c r="F483" s="203"/>
      <c r="G483" s="98">
        <f>G484+G489</f>
        <v>12656.099999999999</v>
      </c>
      <c r="Q483" s="43"/>
    </row>
    <row r="484" spans="1:17" s="36" customFormat="1" ht="15.75">
      <c r="A484" s="144" t="s">
        <v>130</v>
      </c>
      <c r="B484" s="111"/>
      <c r="C484" s="174" t="s">
        <v>152</v>
      </c>
      <c r="D484" s="174" t="s">
        <v>194</v>
      </c>
      <c r="E484" s="200" t="s">
        <v>493</v>
      </c>
      <c r="F484" s="202"/>
      <c r="G484" s="74">
        <f>G485+G487</f>
        <v>12326.099999999999</v>
      </c>
      <c r="Q484" s="43"/>
    </row>
    <row r="485" spans="1:17" s="36" customFormat="1" ht="25.5">
      <c r="A485" s="110" t="s">
        <v>139</v>
      </c>
      <c r="B485" s="111"/>
      <c r="C485" s="174" t="s">
        <v>152</v>
      </c>
      <c r="D485" s="174" t="s">
        <v>194</v>
      </c>
      <c r="E485" s="200" t="s">
        <v>493</v>
      </c>
      <c r="F485" s="202" t="s">
        <v>228</v>
      </c>
      <c r="G485" s="74">
        <f>G486</f>
        <v>11575.199999999999</v>
      </c>
      <c r="Q485" s="43"/>
    </row>
    <row r="486" spans="1:17" s="36" customFormat="1" ht="15.75">
      <c r="A486" s="171" t="s">
        <v>223</v>
      </c>
      <c r="B486" s="111"/>
      <c r="C486" s="174" t="s">
        <v>152</v>
      </c>
      <c r="D486" s="174" t="s">
        <v>194</v>
      </c>
      <c r="E486" s="200" t="s">
        <v>493</v>
      </c>
      <c r="F486" s="202" t="s">
        <v>224</v>
      </c>
      <c r="G486" s="74">
        <f>8807.8+170+2597.4</f>
        <v>11575.199999999999</v>
      </c>
      <c r="Q486" s="43"/>
    </row>
    <row r="487" spans="1:17" s="36" customFormat="1" ht="15.75">
      <c r="A487" s="110" t="s">
        <v>264</v>
      </c>
      <c r="B487" s="111"/>
      <c r="C487" s="174" t="s">
        <v>152</v>
      </c>
      <c r="D487" s="174" t="s">
        <v>194</v>
      </c>
      <c r="E487" s="200" t="s">
        <v>493</v>
      </c>
      <c r="F487" s="202" t="s">
        <v>216</v>
      </c>
      <c r="G487" s="74">
        <f>G488</f>
        <v>750.9</v>
      </c>
      <c r="Q487" s="43"/>
    </row>
    <row r="488" spans="1:17" s="36" customFormat="1" ht="15.75">
      <c r="A488" s="128" t="s">
        <v>217</v>
      </c>
      <c r="B488" s="111"/>
      <c r="C488" s="174" t="s">
        <v>152</v>
      </c>
      <c r="D488" s="174" t="s">
        <v>194</v>
      </c>
      <c r="E488" s="200" t="s">
        <v>493</v>
      </c>
      <c r="F488" s="202" t="s">
        <v>215</v>
      </c>
      <c r="G488" s="74">
        <v>750.9</v>
      </c>
      <c r="Q488" s="43"/>
    </row>
    <row r="489" spans="1:17" s="36" customFormat="1" ht="15.75">
      <c r="A489" s="172" t="s">
        <v>126</v>
      </c>
      <c r="B489" s="111"/>
      <c r="C489" s="174" t="s">
        <v>152</v>
      </c>
      <c r="D489" s="174" t="s">
        <v>194</v>
      </c>
      <c r="E489" s="200" t="s">
        <v>493</v>
      </c>
      <c r="F489" s="202"/>
      <c r="G489" s="99">
        <f>G490+G492</f>
        <v>330</v>
      </c>
      <c r="Q489" s="43"/>
    </row>
    <row r="490" spans="1:17" s="36" customFormat="1" ht="25.5">
      <c r="A490" s="110" t="s">
        <v>139</v>
      </c>
      <c r="B490" s="111"/>
      <c r="C490" s="174" t="s">
        <v>152</v>
      </c>
      <c r="D490" s="174" t="s">
        <v>194</v>
      </c>
      <c r="E490" s="200" t="s">
        <v>502</v>
      </c>
      <c r="F490" s="202" t="s">
        <v>228</v>
      </c>
      <c r="G490" s="99">
        <f>G491</f>
        <v>240</v>
      </c>
      <c r="Q490" s="43"/>
    </row>
    <row r="491" spans="1:17" s="36" customFormat="1" ht="15.75">
      <c r="A491" s="171" t="s">
        <v>223</v>
      </c>
      <c r="B491" s="111"/>
      <c r="C491" s="174" t="s">
        <v>152</v>
      </c>
      <c r="D491" s="174" t="s">
        <v>194</v>
      </c>
      <c r="E491" s="200" t="s">
        <v>502</v>
      </c>
      <c r="F491" s="202" t="s">
        <v>224</v>
      </c>
      <c r="G491" s="99">
        <v>240</v>
      </c>
      <c r="Q491" s="43"/>
    </row>
    <row r="492" spans="1:17" s="36" customFormat="1" ht="15.75">
      <c r="A492" s="110" t="s">
        <v>264</v>
      </c>
      <c r="B492" s="111"/>
      <c r="C492" s="174" t="s">
        <v>152</v>
      </c>
      <c r="D492" s="174" t="s">
        <v>194</v>
      </c>
      <c r="E492" s="200" t="s">
        <v>502</v>
      </c>
      <c r="F492" s="202" t="s">
        <v>216</v>
      </c>
      <c r="G492" s="99">
        <f>G493</f>
        <v>90</v>
      </c>
      <c r="Q492" s="43"/>
    </row>
    <row r="493" spans="1:17" s="36" customFormat="1" ht="15.75">
      <c r="A493" s="144" t="s">
        <v>217</v>
      </c>
      <c r="B493" s="111"/>
      <c r="C493" s="174" t="s">
        <v>152</v>
      </c>
      <c r="D493" s="174" t="s">
        <v>194</v>
      </c>
      <c r="E493" s="200" t="s">
        <v>502</v>
      </c>
      <c r="F493" s="202" t="s">
        <v>215</v>
      </c>
      <c r="G493" s="99">
        <f>150-40-20</f>
        <v>90</v>
      </c>
      <c r="Q493" s="43"/>
    </row>
    <row r="494" spans="1:17" s="36" customFormat="1" ht="15.75">
      <c r="A494" s="106" t="s">
        <v>178</v>
      </c>
      <c r="B494" s="111"/>
      <c r="C494" s="173" t="s">
        <v>150</v>
      </c>
      <c r="D494" s="174"/>
      <c r="E494" s="200"/>
      <c r="F494" s="202"/>
      <c r="G494" s="78">
        <f aca="true" t="shared" si="4" ref="G494:G499">G495</f>
        <v>29157.300000000003</v>
      </c>
      <c r="Q494" s="43"/>
    </row>
    <row r="495" spans="1:17" s="36" customFormat="1" ht="15.75">
      <c r="A495" s="106" t="s">
        <v>182</v>
      </c>
      <c r="B495" s="173"/>
      <c r="C495" s="173" t="s">
        <v>150</v>
      </c>
      <c r="D495" s="173" t="s">
        <v>196</v>
      </c>
      <c r="E495" s="201"/>
      <c r="F495" s="203"/>
      <c r="G495" s="78">
        <f>G496</f>
        <v>29157.300000000003</v>
      </c>
      <c r="Q495" s="43"/>
    </row>
    <row r="496" spans="1:17" s="36" customFormat="1" ht="15.75">
      <c r="A496" s="106" t="s">
        <v>443</v>
      </c>
      <c r="B496" s="115"/>
      <c r="C496" s="173" t="s">
        <v>150</v>
      </c>
      <c r="D496" s="173" t="s">
        <v>196</v>
      </c>
      <c r="E496" s="201" t="s">
        <v>13</v>
      </c>
      <c r="F496" s="203"/>
      <c r="G496" s="78">
        <f>G497+G501</f>
        <v>29157.300000000003</v>
      </c>
      <c r="Q496" s="43"/>
    </row>
    <row r="497" spans="1:17" s="36" customFormat="1" ht="15.75">
      <c r="A497" s="145" t="s">
        <v>440</v>
      </c>
      <c r="B497" s="173"/>
      <c r="C497" s="173" t="s">
        <v>150</v>
      </c>
      <c r="D497" s="173" t="s">
        <v>196</v>
      </c>
      <c r="E497" s="201" t="s">
        <v>14</v>
      </c>
      <c r="F497" s="203"/>
      <c r="G497" s="78">
        <f t="shared" si="4"/>
        <v>9099</v>
      </c>
      <c r="Q497" s="43"/>
    </row>
    <row r="498" spans="1:17" s="36" customFormat="1" ht="25.5">
      <c r="A498" s="144" t="s">
        <v>296</v>
      </c>
      <c r="B498" s="174"/>
      <c r="C498" s="174" t="s">
        <v>150</v>
      </c>
      <c r="D498" s="174" t="s">
        <v>196</v>
      </c>
      <c r="E498" s="200" t="s">
        <v>91</v>
      </c>
      <c r="F498" s="202"/>
      <c r="G498" s="74">
        <f t="shared" si="4"/>
        <v>9099</v>
      </c>
      <c r="Q498" s="43"/>
    </row>
    <row r="499" spans="1:17" s="36" customFormat="1" ht="15.75">
      <c r="A499" s="128" t="s">
        <v>220</v>
      </c>
      <c r="B499" s="111"/>
      <c r="C499" s="174" t="s">
        <v>150</v>
      </c>
      <c r="D499" s="174" t="s">
        <v>196</v>
      </c>
      <c r="E499" s="200" t="s">
        <v>91</v>
      </c>
      <c r="F499" s="202" t="s">
        <v>206</v>
      </c>
      <c r="G499" s="74">
        <f t="shared" si="4"/>
        <v>9099</v>
      </c>
      <c r="Q499" s="43"/>
    </row>
    <row r="500" spans="1:17" s="36" customFormat="1" ht="15.75">
      <c r="A500" s="135" t="s">
        <v>221</v>
      </c>
      <c r="B500" s="111"/>
      <c r="C500" s="174" t="s">
        <v>150</v>
      </c>
      <c r="D500" s="174" t="s">
        <v>196</v>
      </c>
      <c r="E500" s="200" t="s">
        <v>91</v>
      </c>
      <c r="F500" s="202" t="s">
        <v>222</v>
      </c>
      <c r="G500" s="74">
        <v>9099</v>
      </c>
      <c r="Q500" s="43"/>
    </row>
    <row r="501" spans="1:17" s="36" customFormat="1" ht="15.75">
      <c r="A501" s="145" t="s">
        <v>441</v>
      </c>
      <c r="B501" s="123"/>
      <c r="C501" s="152" t="s">
        <v>150</v>
      </c>
      <c r="D501" s="152" t="s">
        <v>196</v>
      </c>
      <c r="E501" s="206" t="s">
        <v>31</v>
      </c>
      <c r="F501" s="208"/>
      <c r="G501" s="78">
        <f>G502+G514+G508+G511+G505</f>
        <v>20058.300000000003</v>
      </c>
      <c r="Q501" s="43"/>
    </row>
    <row r="502" spans="1:17" s="36" customFormat="1" ht="15.75">
      <c r="A502" s="130" t="s">
        <v>309</v>
      </c>
      <c r="B502" s="149"/>
      <c r="C502" s="152" t="s">
        <v>150</v>
      </c>
      <c r="D502" s="152" t="s">
        <v>196</v>
      </c>
      <c r="E502" s="210" t="s">
        <v>310</v>
      </c>
      <c r="F502" s="208"/>
      <c r="G502" s="74">
        <f>G503</f>
        <v>1969.2</v>
      </c>
      <c r="Q502" s="43"/>
    </row>
    <row r="503" spans="1:17" s="36" customFormat="1" ht="15.75">
      <c r="A503" s="147" t="s">
        <v>220</v>
      </c>
      <c r="B503" s="149"/>
      <c r="C503" s="152" t="s">
        <v>150</v>
      </c>
      <c r="D503" s="152" t="s">
        <v>196</v>
      </c>
      <c r="E503" s="210" t="s">
        <v>310</v>
      </c>
      <c r="F503" s="208" t="s">
        <v>206</v>
      </c>
      <c r="G503" s="74">
        <f>G504</f>
        <v>1969.2</v>
      </c>
      <c r="Q503" s="43"/>
    </row>
    <row r="504" spans="1:17" s="36" customFormat="1" ht="15.75">
      <c r="A504" s="148" t="s">
        <v>221</v>
      </c>
      <c r="B504" s="149"/>
      <c r="C504" s="152" t="s">
        <v>150</v>
      </c>
      <c r="D504" s="152" t="s">
        <v>196</v>
      </c>
      <c r="E504" s="210" t="s">
        <v>310</v>
      </c>
      <c r="F504" s="208" t="s">
        <v>222</v>
      </c>
      <c r="G504" s="74">
        <f>2046.9-77.7</f>
        <v>1969.2</v>
      </c>
      <c r="Q504" s="43"/>
    </row>
    <row r="505" spans="1:17" s="36" customFormat="1" ht="153">
      <c r="A505" s="130" t="s">
        <v>692</v>
      </c>
      <c r="B505" s="149"/>
      <c r="C505" s="152" t="s">
        <v>150</v>
      </c>
      <c r="D505" s="152" t="s">
        <v>196</v>
      </c>
      <c r="E505" s="210" t="s">
        <v>691</v>
      </c>
      <c r="F505" s="208"/>
      <c r="G505" s="74">
        <f>G506</f>
        <v>14.7</v>
      </c>
      <c r="Q505" s="43"/>
    </row>
    <row r="506" spans="1:17" s="36" customFormat="1" ht="15.75">
      <c r="A506" s="147" t="s">
        <v>220</v>
      </c>
      <c r="B506" s="149"/>
      <c r="C506" s="152" t="s">
        <v>150</v>
      </c>
      <c r="D506" s="152" t="s">
        <v>196</v>
      </c>
      <c r="E506" s="210" t="s">
        <v>691</v>
      </c>
      <c r="F506" s="208" t="s">
        <v>206</v>
      </c>
      <c r="G506" s="74">
        <f>G507</f>
        <v>14.7</v>
      </c>
      <c r="Q506" s="43"/>
    </row>
    <row r="507" spans="1:17" s="36" customFormat="1" ht="15.75">
      <c r="A507" s="148" t="s">
        <v>221</v>
      </c>
      <c r="B507" s="149"/>
      <c r="C507" s="152" t="s">
        <v>150</v>
      </c>
      <c r="D507" s="152" t="s">
        <v>196</v>
      </c>
      <c r="E507" s="210" t="s">
        <v>691</v>
      </c>
      <c r="F507" s="208" t="s">
        <v>222</v>
      </c>
      <c r="G507" s="74">
        <v>14.7</v>
      </c>
      <c r="Q507" s="43"/>
    </row>
    <row r="508" spans="1:17" s="36" customFormat="1" ht="26.25">
      <c r="A508" s="109" t="s">
        <v>444</v>
      </c>
      <c r="B508" s="123"/>
      <c r="C508" s="152" t="s">
        <v>150</v>
      </c>
      <c r="D508" s="152" t="s">
        <v>196</v>
      </c>
      <c r="E508" s="210" t="s">
        <v>568</v>
      </c>
      <c r="F508" s="208"/>
      <c r="G508" s="74">
        <f>G509</f>
        <v>17515.800000000003</v>
      </c>
      <c r="Q508" s="43"/>
    </row>
    <row r="509" spans="1:17" s="36" customFormat="1" ht="15.75">
      <c r="A509" s="147" t="s">
        <v>317</v>
      </c>
      <c r="B509" s="123"/>
      <c r="C509" s="152" t="s">
        <v>150</v>
      </c>
      <c r="D509" s="152" t="s">
        <v>196</v>
      </c>
      <c r="E509" s="210" t="s">
        <v>568</v>
      </c>
      <c r="F509" s="208" t="s">
        <v>206</v>
      </c>
      <c r="G509" s="74">
        <f>G510</f>
        <v>17515.800000000003</v>
      </c>
      <c r="Q509" s="43"/>
    </row>
    <row r="510" spans="1:17" s="36" customFormat="1" ht="15.75">
      <c r="A510" s="148" t="s">
        <v>221</v>
      </c>
      <c r="B510" s="123"/>
      <c r="C510" s="152" t="s">
        <v>150</v>
      </c>
      <c r="D510" s="152" t="s">
        <v>196</v>
      </c>
      <c r="E510" s="210" t="s">
        <v>568</v>
      </c>
      <c r="F510" s="208" t="s">
        <v>222</v>
      </c>
      <c r="G510" s="74">
        <f>17101.4+414.4</f>
        <v>17515.800000000003</v>
      </c>
      <c r="Q510" s="43"/>
    </row>
    <row r="511" spans="1:17" s="36" customFormat="1" ht="26.25">
      <c r="A511" s="109" t="s">
        <v>446</v>
      </c>
      <c r="B511" s="123"/>
      <c r="C511" s="152" t="s">
        <v>150</v>
      </c>
      <c r="D511" s="152" t="s">
        <v>196</v>
      </c>
      <c r="E511" s="210" t="s">
        <v>445</v>
      </c>
      <c r="F511" s="208"/>
      <c r="G511" s="74">
        <f>G512</f>
        <v>44.6</v>
      </c>
      <c r="Q511" s="43"/>
    </row>
    <row r="512" spans="1:17" s="36" customFormat="1" ht="15.75">
      <c r="A512" s="147" t="s">
        <v>317</v>
      </c>
      <c r="B512" s="123"/>
      <c r="C512" s="152" t="s">
        <v>150</v>
      </c>
      <c r="D512" s="152" t="s">
        <v>196</v>
      </c>
      <c r="E512" s="210" t="s">
        <v>445</v>
      </c>
      <c r="F512" s="208" t="s">
        <v>206</v>
      </c>
      <c r="G512" s="74">
        <f>G513</f>
        <v>44.6</v>
      </c>
      <c r="Q512" s="43"/>
    </row>
    <row r="513" spans="1:17" s="32" customFormat="1" ht="15.75">
      <c r="A513" s="148" t="s">
        <v>221</v>
      </c>
      <c r="B513" s="123"/>
      <c r="C513" s="152" t="s">
        <v>150</v>
      </c>
      <c r="D513" s="152" t="s">
        <v>196</v>
      </c>
      <c r="E513" s="210" t="s">
        <v>445</v>
      </c>
      <c r="F513" s="208" t="s">
        <v>222</v>
      </c>
      <c r="G513" s="74">
        <f>41.9+2.7</f>
        <v>44.6</v>
      </c>
      <c r="Q513" s="44"/>
    </row>
    <row r="514" spans="1:17" s="32" customFormat="1" ht="26.25">
      <c r="A514" s="109" t="s">
        <v>297</v>
      </c>
      <c r="B514" s="123"/>
      <c r="C514" s="152" t="s">
        <v>150</v>
      </c>
      <c r="D514" s="152" t="s">
        <v>196</v>
      </c>
      <c r="E514" s="210" t="s">
        <v>311</v>
      </c>
      <c r="F514" s="208"/>
      <c r="G514" s="74">
        <f>G515</f>
        <v>514</v>
      </c>
      <c r="Q514" s="44"/>
    </row>
    <row r="515" spans="1:17" s="32" customFormat="1" ht="16.5" customHeight="1">
      <c r="A515" s="147" t="s">
        <v>220</v>
      </c>
      <c r="B515" s="123"/>
      <c r="C515" s="152" t="s">
        <v>150</v>
      </c>
      <c r="D515" s="152" t="s">
        <v>196</v>
      </c>
      <c r="E515" s="210" t="s">
        <v>311</v>
      </c>
      <c r="F515" s="208" t="s">
        <v>206</v>
      </c>
      <c r="G515" s="74">
        <f>G516</f>
        <v>514</v>
      </c>
      <c r="Q515" s="44"/>
    </row>
    <row r="516" spans="1:17" s="32" customFormat="1" ht="15.75">
      <c r="A516" s="148" t="s">
        <v>221</v>
      </c>
      <c r="B516" s="123"/>
      <c r="C516" s="152" t="s">
        <v>150</v>
      </c>
      <c r="D516" s="152" t="s">
        <v>196</v>
      </c>
      <c r="E516" s="210" t="s">
        <v>311</v>
      </c>
      <c r="F516" s="208" t="s">
        <v>222</v>
      </c>
      <c r="G516" s="74">
        <v>514</v>
      </c>
      <c r="Q516" s="44"/>
    </row>
    <row r="517" spans="1:17" s="32" customFormat="1" ht="15.75">
      <c r="A517" s="139" t="s">
        <v>417</v>
      </c>
      <c r="B517" s="140" t="s">
        <v>357</v>
      </c>
      <c r="C517" s="226"/>
      <c r="D517" s="226"/>
      <c r="E517" s="227"/>
      <c r="F517" s="228"/>
      <c r="G517" s="78">
        <f>G518+G550+G568+G629+G691+G706</f>
        <v>190388.57099999997</v>
      </c>
      <c r="Q517" s="44"/>
    </row>
    <row r="518" spans="1:17" s="32" customFormat="1" ht="16.5" customHeight="1">
      <c r="A518" s="175" t="s">
        <v>154</v>
      </c>
      <c r="B518" s="127"/>
      <c r="C518" s="153" t="s">
        <v>180</v>
      </c>
      <c r="D518" s="153"/>
      <c r="E518" s="229"/>
      <c r="F518" s="211"/>
      <c r="G518" s="78">
        <f>G519+G526</f>
        <v>7541.3</v>
      </c>
      <c r="Q518" s="44"/>
    </row>
    <row r="519" spans="1:17" s="32" customFormat="1" ht="14.25" customHeight="1">
      <c r="A519" s="176" t="s">
        <v>164</v>
      </c>
      <c r="B519" s="127"/>
      <c r="C519" s="153" t="s">
        <v>180</v>
      </c>
      <c r="D519" s="153" t="s">
        <v>196</v>
      </c>
      <c r="E519" s="229"/>
      <c r="F519" s="211"/>
      <c r="G519" s="78">
        <f>G520</f>
        <v>7121.3</v>
      </c>
      <c r="Q519" s="44"/>
    </row>
    <row r="520" spans="1:17" s="34" customFormat="1" ht="26.25">
      <c r="A520" s="106" t="s">
        <v>585</v>
      </c>
      <c r="B520" s="127"/>
      <c r="C520" s="173" t="s">
        <v>180</v>
      </c>
      <c r="D520" s="173" t="s">
        <v>196</v>
      </c>
      <c r="E520" s="201" t="s">
        <v>478</v>
      </c>
      <c r="F520" s="230"/>
      <c r="G520" s="78">
        <f>G521</f>
        <v>7121.3</v>
      </c>
      <c r="Q520" s="71"/>
    </row>
    <row r="521" spans="1:17" s="32" customFormat="1" ht="15.75">
      <c r="A521" s="108" t="s">
        <v>138</v>
      </c>
      <c r="B521" s="127"/>
      <c r="C521" s="174" t="s">
        <v>180</v>
      </c>
      <c r="D521" s="174" t="s">
        <v>196</v>
      </c>
      <c r="E521" s="200" t="s">
        <v>479</v>
      </c>
      <c r="F521" s="202"/>
      <c r="G521" s="74">
        <f>G522+G524</f>
        <v>7121.3</v>
      </c>
      <c r="Q521" s="44"/>
    </row>
    <row r="522" spans="1:7" s="44" customFormat="1" ht="25.5">
      <c r="A522" s="110" t="s">
        <v>139</v>
      </c>
      <c r="B522" s="127"/>
      <c r="C522" s="174" t="s">
        <v>180</v>
      </c>
      <c r="D522" s="174" t="s">
        <v>196</v>
      </c>
      <c r="E522" s="200" t="s">
        <v>479</v>
      </c>
      <c r="F522" s="202" t="s">
        <v>228</v>
      </c>
      <c r="G522" s="74">
        <f>G523</f>
        <v>6900</v>
      </c>
    </row>
    <row r="523" spans="1:7" s="44" customFormat="1" ht="15.75">
      <c r="A523" s="110" t="s">
        <v>223</v>
      </c>
      <c r="B523" s="127"/>
      <c r="C523" s="174" t="s">
        <v>180</v>
      </c>
      <c r="D523" s="174" t="s">
        <v>196</v>
      </c>
      <c r="E523" s="200" t="s">
        <v>479</v>
      </c>
      <c r="F523" s="202" t="s">
        <v>224</v>
      </c>
      <c r="G523" s="74">
        <f>5216.8+130+1553.2</f>
        <v>6900</v>
      </c>
    </row>
    <row r="524" spans="1:7" s="44" customFormat="1" ht="17.25" customHeight="1">
      <c r="A524" s="110" t="s">
        <v>264</v>
      </c>
      <c r="B524" s="127"/>
      <c r="C524" s="174" t="s">
        <v>180</v>
      </c>
      <c r="D524" s="174" t="s">
        <v>196</v>
      </c>
      <c r="E524" s="200" t="s">
        <v>479</v>
      </c>
      <c r="F524" s="202" t="s">
        <v>216</v>
      </c>
      <c r="G524" s="74">
        <f>G525</f>
        <v>221.3</v>
      </c>
    </row>
    <row r="525" spans="1:7" s="44" customFormat="1" ht="15.75">
      <c r="A525" s="110" t="s">
        <v>217</v>
      </c>
      <c r="B525" s="127"/>
      <c r="C525" s="174" t="s">
        <v>180</v>
      </c>
      <c r="D525" s="174" t="s">
        <v>196</v>
      </c>
      <c r="E525" s="200" t="s">
        <v>479</v>
      </c>
      <c r="F525" s="202" t="s">
        <v>215</v>
      </c>
      <c r="G525" s="74">
        <v>221.3</v>
      </c>
    </row>
    <row r="526" spans="1:17" s="32" customFormat="1" ht="15.75">
      <c r="A526" s="125" t="s">
        <v>165</v>
      </c>
      <c r="B526" s="127"/>
      <c r="C526" s="153" t="s">
        <v>180</v>
      </c>
      <c r="D526" s="153" t="s">
        <v>146</v>
      </c>
      <c r="E526" s="229"/>
      <c r="F526" s="211"/>
      <c r="G526" s="78">
        <f>G527+G540+G546</f>
        <v>420</v>
      </c>
      <c r="Q526" s="44"/>
    </row>
    <row r="527" spans="1:17" s="32" customFormat="1" ht="15.75">
      <c r="A527" s="126" t="s">
        <v>400</v>
      </c>
      <c r="B527" s="127"/>
      <c r="C527" s="153" t="s">
        <v>180</v>
      </c>
      <c r="D527" s="153" t="s">
        <v>146</v>
      </c>
      <c r="E527" s="201" t="s">
        <v>95</v>
      </c>
      <c r="F527" s="211"/>
      <c r="G527" s="78">
        <f>G528+G534</f>
        <v>370</v>
      </c>
      <c r="Q527" s="44"/>
    </row>
    <row r="528" spans="1:17" s="34" customFormat="1" ht="15.75">
      <c r="A528" s="134" t="s">
        <v>450</v>
      </c>
      <c r="B528" s="127"/>
      <c r="C528" s="153" t="s">
        <v>180</v>
      </c>
      <c r="D528" s="153" t="s">
        <v>146</v>
      </c>
      <c r="E528" s="201" t="s">
        <v>54</v>
      </c>
      <c r="F528" s="211"/>
      <c r="G528" s="78">
        <f>G529</f>
        <v>45</v>
      </c>
      <c r="Q528" s="71"/>
    </row>
    <row r="529" spans="1:17" s="32" customFormat="1" ht="18.75" customHeight="1">
      <c r="A529" s="112" t="s">
        <v>111</v>
      </c>
      <c r="B529" s="113"/>
      <c r="C529" s="152" t="s">
        <v>180</v>
      </c>
      <c r="D529" s="152" t="s">
        <v>146</v>
      </c>
      <c r="E529" s="210" t="s">
        <v>55</v>
      </c>
      <c r="F529" s="208"/>
      <c r="G529" s="74">
        <f>G530+G532</f>
        <v>45</v>
      </c>
      <c r="Q529" s="44"/>
    </row>
    <row r="530" spans="1:17" s="32" customFormat="1" ht="15.75">
      <c r="A530" s="110" t="s">
        <v>264</v>
      </c>
      <c r="B530" s="111"/>
      <c r="C530" s="152" t="s">
        <v>180</v>
      </c>
      <c r="D530" s="152" t="s">
        <v>146</v>
      </c>
      <c r="E530" s="210" t="s">
        <v>55</v>
      </c>
      <c r="F530" s="208" t="s">
        <v>216</v>
      </c>
      <c r="G530" s="74">
        <f>G531</f>
        <v>15</v>
      </c>
      <c r="Q530" s="44"/>
    </row>
    <row r="531" spans="1:17" s="34" customFormat="1" ht="15.75">
      <c r="A531" s="110" t="s">
        <v>217</v>
      </c>
      <c r="B531" s="113"/>
      <c r="C531" s="152" t="s">
        <v>180</v>
      </c>
      <c r="D531" s="152" t="s">
        <v>146</v>
      </c>
      <c r="E531" s="210" t="s">
        <v>55</v>
      </c>
      <c r="F531" s="208" t="s">
        <v>215</v>
      </c>
      <c r="G531" s="74">
        <v>15</v>
      </c>
      <c r="Q531" s="71"/>
    </row>
    <row r="532" spans="1:17" s="32" customFormat="1" ht="18.75" customHeight="1">
      <c r="A532" s="110" t="s">
        <v>317</v>
      </c>
      <c r="B532" s="127"/>
      <c r="C532" s="152" t="s">
        <v>180</v>
      </c>
      <c r="D532" s="152" t="s">
        <v>146</v>
      </c>
      <c r="E532" s="210" t="s">
        <v>55</v>
      </c>
      <c r="F532" s="231">
        <v>600</v>
      </c>
      <c r="G532" s="99">
        <f>G533</f>
        <v>30</v>
      </c>
      <c r="Q532" s="44"/>
    </row>
    <row r="533" spans="1:17" s="32" customFormat="1" ht="15.75">
      <c r="A533" s="110" t="s">
        <v>221</v>
      </c>
      <c r="B533" s="127"/>
      <c r="C533" s="152" t="s">
        <v>180</v>
      </c>
      <c r="D533" s="152" t="s">
        <v>146</v>
      </c>
      <c r="E533" s="210" t="s">
        <v>55</v>
      </c>
      <c r="F533" s="231">
        <v>610</v>
      </c>
      <c r="G533" s="99">
        <v>30</v>
      </c>
      <c r="Q533" s="44"/>
    </row>
    <row r="534" spans="1:17" s="34" customFormat="1" ht="15.75">
      <c r="A534" s="114" t="s">
        <v>245</v>
      </c>
      <c r="B534" s="113"/>
      <c r="C534" s="153" t="s">
        <v>180</v>
      </c>
      <c r="D534" s="153" t="s">
        <v>146</v>
      </c>
      <c r="E534" s="206" t="s">
        <v>56</v>
      </c>
      <c r="F534" s="208"/>
      <c r="G534" s="78">
        <f>G535</f>
        <v>325</v>
      </c>
      <c r="Q534" s="71"/>
    </row>
    <row r="535" spans="1:17" s="32" customFormat="1" ht="18.75" customHeight="1">
      <c r="A535" s="112" t="s">
        <v>111</v>
      </c>
      <c r="B535" s="113"/>
      <c r="C535" s="152" t="s">
        <v>180</v>
      </c>
      <c r="D535" s="152" t="s">
        <v>146</v>
      </c>
      <c r="E535" s="210" t="s">
        <v>57</v>
      </c>
      <c r="F535" s="208"/>
      <c r="G535" s="74">
        <f>G536+G538</f>
        <v>325</v>
      </c>
      <c r="Q535" s="44"/>
    </row>
    <row r="536" spans="1:17" s="32" customFormat="1" ht="15.75">
      <c r="A536" s="110" t="s">
        <v>264</v>
      </c>
      <c r="B536" s="111"/>
      <c r="C536" s="152" t="s">
        <v>180</v>
      </c>
      <c r="D536" s="152" t="s">
        <v>146</v>
      </c>
      <c r="E536" s="210" t="s">
        <v>57</v>
      </c>
      <c r="F536" s="208" t="s">
        <v>216</v>
      </c>
      <c r="G536" s="74">
        <f>G537</f>
        <v>62</v>
      </c>
      <c r="Q536" s="44"/>
    </row>
    <row r="537" spans="1:17" s="34" customFormat="1" ht="15.75">
      <c r="A537" s="110" t="s">
        <v>217</v>
      </c>
      <c r="B537" s="113"/>
      <c r="C537" s="152" t="s">
        <v>180</v>
      </c>
      <c r="D537" s="152" t="s">
        <v>146</v>
      </c>
      <c r="E537" s="210" t="s">
        <v>57</v>
      </c>
      <c r="F537" s="208" t="s">
        <v>215</v>
      </c>
      <c r="G537" s="74">
        <v>62</v>
      </c>
      <c r="Q537" s="71"/>
    </row>
    <row r="538" spans="1:17" s="32" customFormat="1" ht="15.75">
      <c r="A538" s="128" t="s">
        <v>220</v>
      </c>
      <c r="B538" s="113"/>
      <c r="C538" s="152" t="s">
        <v>180</v>
      </c>
      <c r="D538" s="152" t="s">
        <v>146</v>
      </c>
      <c r="E538" s="210" t="s">
        <v>57</v>
      </c>
      <c r="F538" s="208" t="s">
        <v>206</v>
      </c>
      <c r="G538" s="74">
        <f>G539</f>
        <v>263</v>
      </c>
      <c r="Q538" s="44"/>
    </row>
    <row r="539" spans="1:17" s="32" customFormat="1" ht="15.75">
      <c r="A539" s="135" t="s">
        <v>221</v>
      </c>
      <c r="B539" s="113"/>
      <c r="C539" s="152" t="s">
        <v>180</v>
      </c>
      <c r="D539" s="152" t="s">
        <v>146</v>
      </c>
      <c r="E539" s="210" t="s">
        <v>57</v>
      </c>
      <c r="F539" s="208" t="s">
        <v>222</v>
      </c>
      <c r="G539" s="74">
        <v>263</v>
      </c>
      <c r="Q539" s="44"/>
    </row>
    <row r="540" spans="1:17" s="32" customFormat="1" ht="15.75">
      <c r="A540" s="125" t="s">
        <v>437</v>
      </c>
      <c r="B540" s="177"/>
      <c r="C540" s="153" t="s">
        <v>180</v>
      </c>
      <c r="D540" s="153" t="s">
        <v>146</v>
      </c>
      <c r="E540" s="206" t="s">
        <v>96</v>
      </c>
      <c r="F540" s="208"/>
      <c r="G540" s="78">
        <f>G541</f>
        <v>40</v>
      </c>
      <c r="Q540" s="44"/>
    </row>
    <row r="541" spans="1:17" s="32" customFormat="1" ht="15.75">
      <c r="A541" s="112" t="s">
        <v>111</v>
      </c>
      <c r="B541" s="113"/>
      <c r="C541" s="152" t="s">
        <v>180</v>
      </c>
      <c r="D541" s="152" t="s">
        <v>146</v>
      </c>
      <c r="E541" s="210" t="s">
        <v>458</v>
      </c>
      <c r="F541" s="208"/>
      <c r="G541" s="74">
        <f>G544+G542</f>
        <v>40</v>
      </c>
      <c r="Q541" s="44"/>
    </row>
    <row r="542" spans="1:17" s="32" customFormat="1" ht="15.75">
      <c r="A542" s="110" t="s">
        <v>264</v>
      </c>
      <c r="B542" s="113"/>
      <c r="C542" s="152" t="s">
        <v>180</v>
      </c>
      <c r="D542" s="152" t="s">
        <v>146</v>
      </c>
      <c r="E542" s="210" t="s">
        <v>458</v>
      </c>
      <c r="F542" s="208" t="s">
        <v>216</v>
      </c>
      <c r="G542" s="74">
        <f>G543</f>
        <v>10</v>
      </c>
      <c r="Q542" s="44"/>
    </row>
    <row r="543" spans="1:17" s="32" customFormat="1" ht="15.75">
      <c r="A543" s="110" t="s">
        <v>217</v>
      </c>
      <c r="B543" s="113"/>
      <c r="C543" s="152" t="s">
        <v>180</v>
      </c>
      <c r="D543" s="152" t="s">
        <v>146</v>
      </c>
      <c r="E543" s="210" t="s">
        <v>458</v>
      </c>
      <c r="F543" s="208" t="s">
        <v>215</v>
      </c>
      <c r="G543" s="74">
        <v>10</v>
      </c>
      <c r="Q543" s="44"/>
    </row>
    <row r="544" spans="1:17" s="32" customFormat="1" ht="15.75">
      <c r="A544" s="128" t="s">
        <v>220</v>
      </c>
      <c r="B544" s="113"/>
      <c r="C544" s="152" t="s">
        <v>180</v>
      </c>
      <c r="D544" s="152" t="s">
        <v>146</v>
      </c>
      <c r="E544" s="210" t="s">
        <v>458</v>
      </c>
      <c r="F544" s="208" t="s">
        <v>206</v>
      </c>
      <c r="G544" s="74">
        <f>G545</f>
        <v>30</v>
      </c>
      <c r="Q544" s="44"/>
    </row>
    <row r="545" spans="1:17" s="32" customFormat="1" ht="15.75">
      <c r="A545" s="135" t="s">
        <v>221</v>
      </c>
      <c r="B545" s="113"/>
      <c r="C545" s="152" t="s">
        <v>180</v>
      </c>
      <c r="D545" s="152" t="s">
        <v>146</v>
      </c>
      <c r="E545" s="210" t="s">
        <v>458</v>
      </c>
      <c r="F545" s="208" t="s">
        <v>222</v>
      </c>
      <c r="G545" s="74">
        <v>30</v>
      </c>
      <c r="Q545" s="44"/>
    </row>
    <row r="546" spans="1:17" s="32" customFormat="1" ht="15.75">
      <c r="A546" s="125" t="s">
        <v>453</v>
      </c>
      <c r="B546" s="177"/>
      <c r="C546" s="153" t="s">
        <v>180</v>
      </c>
      <c r="D546" s="153" t="s">
        <v>146</v>
      </c>
      <c r="E546" s="206" t="s">
        <v>452</v>
      </c>
      <c r="F546" s="208"/>
      <c r="G546" s="78">
        <f>G547</f>
        <v>10</v>
      </c>
      <c r="Q546" s="44"/>
    </row>
    <row r="547" spans="1:17" s="32" customFormat="1" ht="15.75">
      <c r="A547" s="112" t="s">
        <v>111</v>
      </c>
      <c r="B547" s="177"/>
      <c r="C547" s="152" t="s">
        <v>180</v>
      </c>
      <c r="D547" s="152" t="s">
        <v>146</v>
      </c>
      <c r="E547" s="210" t="s">
        <v>454</v>
      </c>
      <c r="F547" s="208"/>
      <c r="G547" s="74">
        <f>G548</f>
        <v>10</v>
      </c>
      <c r="Q547" s="44"/>
    </row>
    <row r="548" spans="1:17" s="32" customFormat="1" ht="15.75">
      <c r="A548" s="110" t="s">
        <v>264</v>
      </c>
      <c r="B548" s="177"/>
      <c r="C548" s="152" t="s">
        <v>180</v>
      </c>
      <c r="D548" s="152" t="s">
        <v>146</v>
      </c>
      <c r="E548" s="210" t="s">
        <v>454</v>
      </c>
      <c r="F548" s="208" t="s">
        <v>216</v>
      </c>
      <c r="G548" s="74">
        <f>G549</f>
        <v>10</v>
      </c>
      <c r="Q548" s="44"/>
    </row>
    <row r="549" spans="1:17" s="32" customFormat="1" ht="15.75">
      <c r="A549" s="110" t="s">
        <v>217</v>
      </c>
      <c r="B549" s="177"/>
      <c r="C549" s="152" t="s">
        <v>180</v>
      </c>
      <c r="D549" s="152" t="s">
        <v>146</v>
      </c>
      <c r="E549" s="210" t="s">
        <v>454</v>
      </c>
      <c r="F549" s="208" t="s">
        <v>215</v>
      </c>
      <c r="G549" s="74">
        <v>10</v>
      </c>
      <c r="Q549" s="44"/>
    </row>
    <row r="550" spans="1:17" s="32" customFormat="1" ht="15.75">
      <c r="A550" s="178" t="s">
        <v>210</v>
      </c>
      <c r="B550" s="179"/>
      <c r="C550" s="232" t="s">
        <v>196</v>
      </c>
      <c r="D550" s="233"/>
      <c r="E550" s="234"/>
      <c r="F550" s="233"/>
      <c r="G550" s="100">
        <f>G551</f>
        <v>3320.1</v>
      </c>
      <c r="Q550" s="44"/>
    </row>
    <row r="551" spans="1:17" s="32" customFormat="1" ht="15.75">
      <c r="A551" s="134" t="s">
        <v>159</v>
      </c>
      <c r="B551" s="107"/>
      <c r="C551" s="173" t="s">
        <v>196</v>
      </c>
      <c r="D551" s="173" t="s">
        <v>188</v>
      </c>
      <c r="E551" s="201"/>
      <c r="F551" s="203"/>
      <c r="G551" s="78">
        <f>G552</f>
        <v>3320.1</v>
      </c>
      <c r="Q551" s="44"/>
    </row>
    <row r="552" spans="1:17" s="32" customFormat="1" ht="15.75">
      <c r="A552" s="178" t="s">
        <v>387</v>
      </c>
      <c r="B552" s="107"/>
      <c r="C552" s="173" t="s">
        <v>196</v>
      </c>
      <c r="D552" s="173" t="s">
        <v>188</v>
      </c>
      <c r="E552" s="201" t="s">
        <v>86</v>
      </c>
      <c r="F552" s="203"/>
      <c r="G552" s="78">
        <f>G553</f>
        <v>3320.1</v>
      </c>
      <c r="Q552" s="44"/>
    </row>
    <row r="553" spans="1:17" s="32" customFormat="1" ht="15.75">
      <c r="A553" s="134" t="s">
        <v>582</v>
      </c>
      <c r="B553" s="107"/>
      <c r="C553" s="173" t="s">
        <v>196</v>
      </c>
      <c r="D553" s="173" t="s">
        <v>188</v>
      </c>
      <c r="E553" s="201" t="s">
        <v>88</v>
      </c>
      <c r="F553" s="203"/>
      <c r="G553" s="78">
        <f>G554+G559+G562+G565</f>
        <v>3320.1</v>
      </c>
      <c r="Q553" s="44"/>
    </row>
    <row r="554" spans="1:17" s="32" customFormat="1" ht="15.75">
      <c r="A554" s="112" t="s">
        <v>114</v>
      </c>
      <c r="B554" s="111"/>
      <c r="C554" s="174" t="s">
        <v>196</v>
      </c>
      <c r="D554" s="174" t="s">
        <v>188</v>
      </c>
      <c r="E554" s="200" t="s">
        <v>89</v>
      </c>
      <c r="F554" s="202"/>
      <c r="G554" s="74">
        <f>G555+G557</f>
        <v>589</v>
      </c>
      <c r="Q554" s="44"/>
    </row>
    <row r="555" spans="1:17" s="32" customFormat="1" ht="25.5">
      <c r="A555" s="110" t="s">
        <v>139</v>
      </c>
      <c r="B555" s="111"/>
      <c r="C555" s="174" t="s">
        <v>196</v>
      </c>
      <c r="D555" s="174" t="s">
        <v>188</v>
      </c>
      <c r="E555" s="200" t="s">
        <v>89</v>
      </c>
      <c r="F555" s="202" t="s">
        <v>228</v>
      </c>
      <c r="G555" s="74">
        <f>G556</f>
        <v>25</v>
      </c>
      <c r="Q555" s="44"/>
    </row>
    <row r="556" spans="1:17" s="32" customFormat="1" ht="15.75">
      <c r="A556" s="144" t="s">
        <v>223</v>
      </c>
      <c r="B556" s="111"/>
      <c r="C556" s="174" t="s">
        <v>196</v>
      </c>
      <c r="D556" s="174" t="s">
        <v>188</v>
      </c>
      <c r="E556" s="200" t="s">
        <v>89</v>
      </c>
      <c r="F556" s="202" t="s">
        <v>224</v>
      </c>
      <c r="G556" s="74">
        <v>25</v>
      </c>
      <c r="Q556" s="44"/>
    </row>
    <row r="557" spans="1:17" s="36" customFormat="1" ht="15.75">
      <c r="A557" s="128" t="s">
        <v>220</v>
      </c>
      <c r="B557" s="111"/>
      <c r="C557" s="174" t="s">
        <v>196</v>
      </c>
      <c r="D557" s="174" t="s">
        <v>188</v>
      </c>
      <c r="E557" s="200" t="s">
        <v>89</v>
      </c>
      <c r="F557" s="202" t="s">
        <v>206</v>
      </c>
      <c r="G557" s="74">
        <f>G558</f>
        <v>564</v>
      </c>
      <c r="Q557" s="43"/>
    </row>
    <row r="558" spans="1:17" s="36" customFormat="1" ht="15.75">
      <c r="A558" s="135" t="s">
        <v>221</v>
      </c>
      <c r="B558" s="111"/>
      <c r="C558" s="174" t="s">
        <v>196</v>
      </c>
      <c r="D558" s="174" t="s">
        <v>188</v>
      </c>
      <c r="E558" s="200" t="s">
        <v>89</v>
      </c>
      <c r="F558" s="202" t="s">
        <v>222</v>
      </c>
      <c r="G558" s="74">
        <f>400+100+64</f>
        <v>564</v>
      </c>
      <c r="Q558" s="43"/>
    </row>
    <row r="559" spans="1:17" s="36" customFormat="1" ht="15.75">
      <c r="A559" s="112" t="s">
        <v>262</v>
      </c>
      <c r="B559" s="111"/>
      <c r="C559" s="174" t="s">
        <v>196</v>
      </c>
      <c r="D559" s="174" t="s">
        <v>188</v>
      </c>
      <c r="E559" s="200" t="s">
        <v>353</v>
      </c>
      <c r="F559" s="202"/>
      <c r="G559" s="74">
        <f>G560</f>
        <v>578</v>
      </c>
      <c r="Q559" s="43"/>
    </row>
    <row r="560" spans="1:17" s="36" customFormat="1" ht="15.75">
      <c r="A560" s="128" t="s">
        <v>220</v>
      </c>
      <c r="B560" s="111"/>
      <c r="C560" s="174" t="s">
        <v>196</v>
      </c>
      <c r="D560" s="174" t="s">
        <v>188</v>
      </c>
      <c r="E560" s="200" t="s">
        <v>353</v>
      </c>
      <c r="F560" s="202" t="s">
        <v>206</v>
      </c>
      <c r="G560" s="74">
        <f>G561</f>
        <v>578</v>
      </c>
      <c r="Q560" s="43"/>
    </row>
    <row r="561" spans="1:7" s="43" customFormat="1" ht="16.5" customHeight="1">
      <c r="A561" s="135" t="s">
        <v>221</v>
      </c>
      <c r="B561" s="111"/>
      <c r="C561" s="174" t="s">
        <v>196</v>
      </c>
      <c r="D561" s="174" t="s">
        <v>188</v>
      </c>
      <c r="E561" s="200" t="s">
        <v>353</v>
      </c>
      <c r="F561" s="202" t="s">
        <v>222</v>
      </c>
      <c r="G561" s="74">
        <f>458+120</f>
        <v>578</v>
      </c>
    </row>
    <row r="562" spans="1:17" s="36" customFormat="1" ht="15.75">
      <c r="A562" s="112" t="s">
        <v>535</v>
      </c>
      <c r="B562" s="111"/>
      <c r="C562" s="174" t="s">
        <v>196</v>
      </c>
      <c r="D562" s="174" t="s">
        <v>188</v>
      </c>
      <c r="E562" s="200" t="s">
        <v>534</v>
      </c>
      <c r="F562" s="202"/>
      <c r="G562" s="74">
        <f>G563</f>
        <v>1653.1</v>
      </c>
      <c r="Q562" s="43"/>
    </row>
    <row r="563" spans="1:17" s="36" customFormat="1" ht="15.75">
      <c r="A563" s="128" t="s">
        <v>220</v>
      </c>
      <c r="B563" s="111"/>
      <c r="C563" s="174" t="s">
        <v>196</v>
      </c>
      <c r="D563" s="174" t="s">
        <v>188</v>
      </c>
      <c r="E563" s="200" t="s">
        <v>534</v>
      </c>
      <c r="F563" s="202" t="s">
        <v>206</v>
      </c>
      <c r="G563" s="74">
        <f>G564</f>
        <v>1653.1</v>
      </c>
      <c r="Q563" s="43"/>
    </row>
    <row r="564" spans="1:17" s="36" customFormat="1" ht="15.75" customHeight="1">
      <c r="A564" s="135" t="s">
        <v>221</v>
      </c>
      <c r="B564" s="111"/>
      <c r="C564" s="174" t="s">
        <v>196</v>
      </c>
      <c r="D564" s="174" t="s">
        <v>188</v>
      </c>
      <c r="E564" s="200" t="s">
        <v>534</v>
      </c>
      <c r="F564" s="202" t="s">
        <v>222</v>
      </c>
      <c r="G564" s="74">
        <v>1653.1</v>
      </c>
      <c r="Q564" s="43"/>
    </row>
    <row r="565" spans="1:17" s="36" customFormat="1" ht="15.75">
      <c r="A565" s="112" t="s">
        <v>617</v>
      </c>
      <c r="B565" s="111"/>
      <c r="C565" s="174" t="s">
        <v>196</v>
      </c>
      <c r="D565" s="174" t="s">
        <v>188</v>
      </c>
      <c r="E565" s="200" t="s">
        <v>616</v>
      </c>
      <c r="F565" s="202"/>
      <c r="G565" s="74">
        <f>G566</f>
        <v>500</v>
      </c>
      <c r="Q565" s="43"/>
    </row>
    <row r="566" spans="1:17" s="36" customFormat="1" ht="15.75">
      <c r="A566" s="128" t="s">
        <v>220</v>
      </c>
      <c r="B566" s="111"/>
      <c r="C566" s="174" t="s">
        <v>196</v>
      </c>
      <c r="D566" s="174" t="s">
        <v>188</v>
      </c>
      <c r="E566" s="200" t="s">
        <v>616</v>
      </c>
      <c r="F566" s="202" t="s">
        <v>206</v>
      </c>
      <c r="G566" s="74">
        <f>G567</f>
        <v>500</v>
      </c>
      <c r="Q566" s="43"/>
    </row>
    <row r="567" spans="1:17" s="36" customFormat="1" ht="15.75">
      <c r="A567" s="135" t="s">
        <v>221</v>
      </c>
      <c r="B567" s="111"/>
      <c r="C567" s="174" t="s">
        <v>196</v>
      </c>
      <c r="D567" s="174" t="s">
        <v>188</v>
      </c>
      <c r="E567" s="200" t="s">
        <v>616</v>
      </c>
      <c r="F567" s="202" t="s">
        <v>222</v>
      </c>
      <c r="G567" s="74">
        <v>500</v>
      </c>
      <c r="Q567" s="43"/>
    </row>
    <row r="568" spans="1:17" s="36" customFormat="1" ht="15.75">
      <c r="A568" s="106" t="s">
        <v>192</v>
      </c>
      <c r="B568" s="121"/>
      <c r="C568" s="153" t="s">
        <v>152</v>
      </c>
      <c r="D568" s="152"/>
      <c r="E568" s="210"/>
      <c r="F568" s="235"/>
      <c r="G568" s="78">
        <f>G569+G611</f>
        <v>40001.771</v>
      </c>
      <c r="Q568" s="43"/>
    </row>
    <row r="569" spans="1:17" s="36" customFormat="1" ht="15.75">
      <c r="A569" s="166" t="s">
        <v>280</v>
      </c>
      <c r="B569" s="121"/>
      <c r="C569" s="153" t="s">
        <v>152</v>
      </c>
      <c r="D569" s="153" t="s">
        <v>181</v>
      </c>
      <c r="E569" s="210"/>
      <c r="F569" s="235"/>
      <c r="G569" s="78">
        <f>G570</f>
        <v>38965.971</v>
      </c>
      <c r="Q569" s="43"/>
    </row>
    <row r="570" spans="1:17" s="36" customFormat="1" ht="15.75">
      <c r="A570" s="178" t="s">
        <v>387</v>
      </c>
      <c r="B570" s="107"/>
      <c r="C570" s="153" t="s">
        <v>152</v>
      </c>
      <c r="D570" s="153" t="s">
        <v>181</v>
      </c>
      <c r="E570" s="201" t="s">
        <v>86</v>
      </c>
      <c r="F570" s="203"/>
      <c r="G570" s="78">
        <f>G571</f>
        <v>38965.971</v>
      </c>
      <c r="Q570" s="43"/>
    </row>
    <row r="571" spans="1:17" s="36" customFormat="1" ht="26.25">
      <c r="A571" s="106" t="s">
        <v>581</v>
      </c>
      <c r="B571" s="107"/>
      <c r="C571" s="173" t="s">
        <v>152</v>
      </c>
      <c r="D571" s="173" t="s">
        <v>181</v>
      </c>
      <c r="E571" s="201" t="s">
        <v>370</v>
      </c>
      <c r="F571" s="203"/>
      <c r="G571" s="78">
        <f>G572+G575+G578+G581+G584+G587+G590+G602+G608+G605+G593+G596+G599</f>
        <v>38965.971</v>
      </c>
      <c r="Q571" s="43"/>
    </row>
    <row r="572" spans="1:17" s="36" customFormat="1" ht="15.75">
      <c r="A572" s="165" t="s">
        <v>125</v>
      </c>
      <c r="B572" s="111"/>
      <c r="C572" s="174" t="s">
        <v>152</v>
      </c>
      <c r="D572" s="174" t="s">
        <v>181</v>
      </c>
      <c r="E572" s="200" t="s">
        <v>371</v>
      </c>
      <c r="F572" s="202"/>
      <c r="G572" s="74">
        <f>G573</f>
        <v>35328.600000000006</v>
      </c>
      <c r="Q572" s="43"/>
    </row>
    <row r="573" spans="1:17" s="36" customFormat="1" ht="15.75">
      <c r="A573" s="128" t="s">
        <v>220</v>
      </c>
      <c r="B573" s="111"/>
      <c r="C573" s="174" t="s">
        <v>152</v>
      </c>
      <c r="D573" s="174" t="s">
        <v>181</v>
      </c>
      <c r="E573" s="200" t="s">
        <v>371</v>
      </c>
      <c r="F573" s="202" t="s">
        <v>206</v>
      </c>
      <c r="G573" s="74">
        <f>G574</f>
        <v>35328.600000000006</v>
      </c>
      <c r="I573" s="45"/>
      <c r="Q573" s="43"/>
    </row>
    <row r="574" spans="1:17" ht="16.5" customHeight="1">
      <c r="A574" s="135" t="s">
        <v>221</v>
      </c>
      <c r="B574" s="111"/>
      <c r="C574" s="174" t="s">
        <v>152</v>
      </c>
      <c r="D574" s="174" t="s">
        <v>181</v>
      </c>
      <c r="E574" s="200" t="s">
        <v>371</v>
      </c>
      <c r="F574" s="202" t="s">
        <v>222</v>
      </c>
      <c r="G574" s="74">
        <f>35212.8+200-84.2</f>
        <v>35328.600000000006</v>
      </c>
      <c r="I574" s="40"/>
      <c r="Q574" s="68"/>
    </row>
    <row r="575" spans="1:7" ht="15.75">
      <c r="A575" s="144" t="s">
        <v>253</v>
      </c>
      <c r="B575" s="111"/>
      <c r="C575" s="174" t="s">
        <v>152</v>
      </c>
      <c r="D575" s="174" t="s">
        <v>181</v>
      </c>
      <c r="E575" s="200" t="s">
        <v>372</v>
      </c>
      <c r="F575" s="202"/>
      <c r="G575" s="74">
        <f>G576</f>
        <v>192.827</v>
      </c>
    </row>
    <row r="576" spans="1:9" ht="15.75">
      <c r="A576" s="128" t="s">
        <v>220</v>
      </c>
      <c r="B576" s="111"/>
      <c r="C576" s="174" t="s">
        <v>152</v>
      </c>
      <c r="D576" s="174" t="s">
        <v>181</v>
      </c>
      <c r="E576" s="200" t="s">
        <v>372</v>
      </c>
      <c r="F576" s="202" t="s">
        <v>206</v>
      </c>
      <c r="G576" s="74">
        <f>G577</f>
        <v>192.827</v>
      </c>
      <c r="I576" s="40"/>
    </row>
    <row r="577" spans="1:7" ht="15.75">
      <c r="A577" s="135" t="s">
        <v>221</v>
      </c>
      <c r="B577" s="111"/>
      <c r="C577" s="174" t="s">
        <v>152</v>
      </c>
      <c r="D577" s="174" t="s">
        <v>181</v>
      </c>
      <c r="E577" s="200" t="s">
        <v>372</v>
      </c>
      <c r="F577" s="202" t="s">
        <v>222</v>
      </c>
      <c r="G577" s="74">
        <v>192.827</v>
      </c>
    </row>
    <row r="578" spans="1:7" ht="18.75" customHeight="1">
      <c r="A578" s="172" t="s">
        <v>126</v>
      </c>
      <c r="B578" s="111"/>
      <c r="C578" s="174" t="s">
        <v>152</v>
      </c>
      <c r="D578" s="174" t="s">
        <v>181</v>
      </c>
      <c r="E578" s="200" t="s">
        <v>373</v>
      </c>
      <c r="F578" s="202"/>
      <c r="G578" s="74">
        <f>G579</f>
        <v>145.8</v>
      </c>
    </row>
    <row r="579" spans="1:9" ht="15.75">
      <c r="A579" s="128" t="s">
        <v>220</v>
      </c>
      <c r="B579" s="111"/>
      <c r="C579" s="174" t="s">
        <v>152</v>
      </c>
      <c r="D579" s="174" t="s">
        <v>181</v>
      </c>
      <c r="E579" s="200" t="s">
        <v>373</v>
      </c>
      <c r="F579" s="202" t="s">
        <v>206</v>
      </c>
      <c r="G579" s="74">
        <f>G580</f>
        <v>145.8</v>
      </c>
      <c r="I579" s="40"/>
    </row>
    <row r="580" spans="1:9" ht="16.5" customHeight="1">
      <c r="A580" s="135" t="s">
        <v>221</v>
      </c>
      <c r="B580" s="111"/>
      <c r="C580" s="174" t="s">
        <v>152</v>
      </c>
      <c r="D580" s="174" t="s">
        <v>181</v>
      </c>
      <c r="E580" s="200" t="s">
        <v>373</v>
      </c>
      <c r="F580" s="202" t="s">
        <v>222</v>
      </c>
      <c r="G580" s="74">
        <v>145.8</v>
      </c>
      <c r="I580" s="40"/>
    </row>
    <row r="581" spans="1:7" ht="15.75">
      <c r="A581" s="144" t="s">
        <v>432</v>
      </c>
      <c r="B581" s="137"/>
      <c r="C581" s="174" t="s">
        <v>152</v>
      </c>
      <c r="D581" s="174" t="s">
        <v>181</v>
      </c>
      <c r="E581" s="200" t="s">
        <v>570</v>
      </c>
      <c r="F581" s="202"/>
      <c r="G581" s="74">
        <f>G582</f>
        <v>114.244</v>
      </c>
    </row>
    <row r="582" spans="1:7" ht="15.75">
      <c r="A582" s="128" t="s">
        <v>220</v>
      </c>
      <c r="B582" s="137"/>
      <c r="C582" s="174" t="s">
        <v>152</v>
      </c>
      <c r="D582" s="174" t="s">
        <v>181</v>
      </c>
      <c r="E582" s="200" t="s">
        <v>570</v>
      </c>
      <c r="F582" s="202" t="s">
        <v>206</v>
      </c>
      <c r="G582" s="74">
        <f>G583</f>
        <v>114.244</v>
      </c>
    </row>
    <row r="583" spans="1:7" ht="15.75">
      <c r="A583" s="135" t="s">
        <v>221</v>
      </c>
      <c r="B583" s="137"/>
      <c r="C583" s="174" t="s">
        <v>152</v>
      </c>
      <c r="D583" s="174" t="s">
        <v>181</v>
      </c>
      <c r="E583" s="200" t="s">
        <v>570</v>
      </c>
      <c r="F583" s="202" t="s">
        <v>222</v>
      </c>
      <c r="G583" s="74">
        <v>114.244</v>
      </c>
    </row>
    <row r="584" spans="1:7" ht="15.75">
      <c r="A584" s="144" t="s">
        <v>323</v>
      </c>
      <c r="B584" s="137"/>
      <c r="C584" s="174" t="s">
        <v>152</v>
      </c>
      <c r="D584" s="174" t="s">
        <v>181</v>
      </c>
      <c r="E584" s="200" t="s">
        <v>376</v>
      </c>
      <c r="F584" s="202"/>
      <c r="G584" s="74">
        <f>G585</f>
        <v>166.5</v>
      </c>
    </row>
    <row r="585" spans="1:9" ht="19.5" customHeight="1">
      <c r="A585" s="128" t="s">
        <v>220</v>
      </c>
      <c r="B585" s="137"/>
      <c r="C585" s="174" t="s">
        <v>152</v>
      </c>
      <c r="D585" s="174" t="s">
        <v>181</v>
      </c>
      <c r="E585" s="200" t="s">
        <v>376</v>
      </c>
      <c r="F585" s="202" t="s">
        <v>206</v>
      </c>
      <c r="G585" s="74">
        <f>G586</f>
        <v>166.5</v>
      </c>
      <c r="I585" s="40"/>
    </row>
    <row r="586" spans="1:7" ht="25.5" customHeight="1">
      <c r="A586" s="135" t="s">
        <v>221</v>
      </c>
      <c r="B586" s="137"/>
      <c r="C586" s="174" t="s">
        <v>152</v>
      </c>
      <c r="D586" s="174" t="s">
        <v>181</v>
      </c>
      <c r="E586" s="200" t="s">
        <v>376</v>
      </c>
      <c r="F586" s="202" t="s">
        <v>222</v>
      </c>
      <c r="G586" s="74">
        <f>186.5-20</f>
        <v>166.5</v>
      </c>
    </row>
    <row r="587" spans="1:7" ht="15.75">
      <c r="A587" s="144" t="s">
        <v>325</v>
      </c>
      <c r="B587" s="137"/>
      <c r="C587" s="174" t="s">
        <v>152</v>
      </c>
      <c r="D587" s="174" t="s">
        <v>181</v>
      </c>
      <c r="E587" s="200" t="s">
        <v>374</v>
      </c>
      <c r="F587" s="202"/>
      <c r="G587" s="74">
        <f>G588</f>
        <v>340.6</v>
      </c>
    </row>
    <row r="588" spans="1:7" ht="15.75">
      <c r="A588" s="128" t="s">
        <v>220</v>
      </c>
      <c r="B588" s="137"/>
      <c r="C588" s="174" t="s">
        <v>152</v>
      </c>
      <c r="D588" s="174" t="s">
        <v>181</v>
      </c>
      <c r="E588" s="200" t="s">
        <v>374</v>
      </c>
      <c r="F588" s="202" t="s">
        <v>206</v>
      </c>
      <c r="G588" s="74">
        <f>G589</f>
        <v>340.6</v>
      </c>
    </row>
    <row r="589" spans="1:7" ht="15.75">
      <c r="A589" s="135" t="s">
        <v>221</v>
      </c>
      <c r="B589" s="137"/>
      <c r="C589" s="174" t="s">
        <v>152</v>
      </c>
      <c r="D589" s="174" t="s">
        <v>181</v>
      </c>
      <c r="E589" s="200" t="s">
        <v>374</v>
      </c>
      <c r="F589" s="202" t="s">
        <v>222</v>
      </c>
      <c r="G589" s="74">
        <v>340.6</v>
      </c>
    </row>
    <row r="590" spans="1:7" ht="15.75">
      <c r="A590" s="144" t="s">
        <v>326</v>
      </c>
      <c r="B590" s="137"/>
      <c r="C590" s="174" t="s">
        <v>152</v>
      </c>
      <c r="D590" s="174" t="s">
        <v>181</v>
      </c>
      <c r="E590" s="200" t="s">
        <v>375</v>
      </c>
      <c r="F590" s="202"/>
      <c r="G590" s="74">
        <f>G591</f>
        <v>14.8</v>
      </c>
    </row>
    <row r="591" spans="1:7" ht="15.75">
      <c r="A591" s="128" t="s">
        <v>220</v>
      </c>
      <c r="B591" s="137"/>
      <c r="C591" s="174" t="s">
        <v>152</v>
      </c>
      <c r="D591" s="174" t="s">
        <v>181</v>
      </c>
      <c r="E591" s="200" t="s">
        <v>375</v>
      </c>
      <c r="F591" s="202" t="s">
        <v>206</v>
      </c>
      <c r="G591" s="74">
        <f>G592</f>
        <v>14.8</v>
      </c>
    </row>
    <row r="592" spans="1:7" ht="15.75">
      <c r="A592" s="135" t="s">
        <v>221</v>
      </c>
      <c r="B592" s="137"/>
      <c r="C592" s="174" t="s">
        <v>152</v>
      </c>
      <c r="D592" s="174" t="s">
        <v>181</v>
      </c>
      <c r="E592" s="200" t="s">
        <v>375</v>
      </c>
      <c r="F592" s="202" t="s">
        <v>222</v>
      </c>
      <c r="G592" s="74">
        <v>14.8</v>
      </c>
    </row>
    <row r="593" spans="1:7" ht="15.75">
      <c r="A593" s="144" t="s">
        <v>680</v>
      </c>
      <c r="B593" s="137"/>
      <c r="C593" s="174" t="s">
        <v>152</v>
      </c>
      <c r="D593" s="174" t="s">
        <v>181</v>
      </c>
      <c r="E593" s="200" t="s">
        <v>687</v>
      </c>
      <c r="F593" s="202"/>
      <c r="G593" s="74">
        <f>G594</f>
        <v>603.6</v>
      </c>
    </row>
    <row r="594" spans="1:7" ht="15.75">
      <c r="A594" s="128" t="s">
        <v>220</v>
      </c>
      <c r="B594" s="137"/>
      <c r="C594" s="174" t="s">
        <v>152</v>
      </c>
      <c r="D594" s="174" t="s">
        <v>181</v>
      </c>
      <c r="E594" s="200" t="s">
        <v>687</v>
      </c>
      <c r="F594" s="202" t="s">
        <v>206</v>
      </c>
      <c r="G594" s="74">
        <f>G595</f>
        <v>603.6</v>
      </c>
    </row>
    <row r="595" spans="1:7" ht="15.75">
      <c r="A595" s="135" t="s">
        <v>221</v>
      </c>
      <c r="B595" s="137"/>
      <c r="C595" s="174" t="s">
        <v>152</v>
      </c>
      <c r="D595" s="174" t="s">
        <v>181</v>
      </c>
      <c r="E595" s="200" t="s">
        <v>687</v>
      </c>
      <c r="F595" s="202" t="s">
        <v>222</v>
      </c>
      <c r="G595" s="74">
        <v>603.6</v>
      </c>
    </row>
    <row r="596" spans="1:7" ht="36.75">
      <c r="A596" s="264" t="s">
        <v>694</v>
      </c>
      <c r="B596" s="137"/>
      <c r="C596" s="174" t="s">
        <v>152</v>
      </c>
      <c r="D596" s="174" t="s">
        <v>181</v>
      </c>
      <c r="E596" s="208" t="s">
        <v>696</v>
      </c>
      <c r="F596" s="208"/>
      <c r="G596" s="99">
        <f>G597</f>
        <v>0</v>
      </c>
    </row>
    <row r="597" spans="1:17" s="32" customFormat="1" ht="15" customHeight="1">
      <c r="A597" s="261" t="s">
        <v>220</v>
      </c>
      <c r="B597" s="137"/>
      <c r="C597" s="174" t="s">
        <v>152</v>
      </c>
      <c r="D597" s="174" t="s">
        <v>181</v>
      </c>
      <c r="E597" s="208" t="s">
        <v>696</v>
      </c>
      <c r="F597" s="208" t="s">
        <v>206</v>
      </c>
      <c r="G597" s="99">
        <f>G598</f>
        <v>0</v>
      </c>
      <c r="Q597" s="44"/>
    </row>
    <row r="598" spans="1:17" s="32" customFormat="1" ht="15.75">
      <c r="A598" s="262" t="s">
        <v>221</v>
      </c>
      <c r="B598" s="137"/>
      <c r="C598" s="174" t="s">
        <v>152</v>
      </c>
      <c r="D598" s="174" t="s">
        <v>181</v>
      </c>
      <c r="E598" s="208" t="s">
        <v>696</v>
      </c>
      <c r="F598" s="208" t="s">
        <v>222</v>
      </c>
      <c r="G598" s="99">
        <v>0</v>
      </c>
      <c r="Q598" s="44"/>
    </row>
    <row r="599" spans="1:17" s="32" customFormat="1" ht="36.75">
      <c r="A599" s="264" t="s">
        <v>694</v>
      </c>
      <c r="B599" s="137"/>
      <c r="C599" s="174" t="s">
        <v>152</v>
      </c>
      <c r="D599" s="174" t="s">
        <v>181</v>
      </c>
      <c r="E599" s="208" t="s">
        <v>700</v>
      </c>
      <c r="F599" s="208"/>
      <c r="G599" s="99">
        <f>G600</f>
        <v>1203.1000000000001</v>
      </c>
      <c r="Q599" s="44"/>
    </row>
    <row r="600" spans="1:17" s="32" customFormat="1" ht="15" customHeight="1">
      <c r="A600" s="261" t="s">
        <v>220</v>
      </c>
      <c r="B600" s="137"/>
      <c r="C600" s="174" t="s">
        <v>152</v>
      </c>
      <c r="D600" s="174" t="s">
        <v>181</v>
      </c>
      <c r="E600" s="208" t="s">
        <v>700</v>
      </c>
      <c r="F600" s="208" t="s">
        <v>206</v>
      </c>
      <c r="G600" s="99">
        <f>G601</f>
        <v>1203.1000000000001</v>
      </c>
      <c r="Q600" s="44"/>
    </row>
    <row r="601" spans="1:17" s="32" customFormat="1" ht="15.75">
      <c r="A601" s="262" t="s">
        <v>221</v>
      </c>
      <c r="B601" s="137"/>
      <c r="C601" s="174" t="s">
        <v>152</v>
      </c>
      <c r="D601" s="174" t="s">
        <v>181</v>
      </c>
      <c r="E601" s="208" t="s">
        <v>700</v>
      </c>
      <c r="F601" s="208" t="s">
        <v>222</v>
      </c>
      <c r="G601" s="99">
        <f>700.4+418.5+84.2</f>
        <v>1203.1000000000001</v>
      </c>
      <c r="Q601" s="44"/>
    </row>
    <row r="602" spans="1:17" s="32" customFormat="1" ht="39">
      <c r="A602" s="150" t="s">
        <v>295</v>
      </c>
      <c r="B602" s="149"/>
      <c r="C602" s="152" t="s">
        <v>152</v>
      </c>
      <c r="D602" s="152" t="s">
        <v>181</v>
      </c>
      <c r="E602" s="210" t="s">
        <v>377</v>
      </c>
      <c r="F602" s="208"/>
      <c r="G602" s="99">
        <f>G603</f>
        <v>151</v>
      </c>
      <c r="Q602" s="44"/>
    </row>
    <row r="603" spans="1:17" s="32" customFormat="1" ht="15.75">
      <c r="A603" s="147" t="s">
        <v>220</v>
      </c>
      <c r="B603" s="149"/>
      <c r="C603" s="152" t="s">
        <v>152</v>
      </c>
      <c r="D603" s="152" t="s">
        <v>181</v>
      </c>
      <c r="E603" s="210" t="s">
        <v>377</v>
      </c>
      <c r="F603" s="208" t="s">
        <v>206</v>
      </c>
      <c r="G603" s="99">
        <f>G604</f>
        <v>151</v>
      </c>
      <c r="Q603" s="44"/>
    </row>
    <row r="604" spans="1:17" s="32" customFormat="1" ht="15.75">
      <c r="A604" s="148" t="s">
        <v>221</v>
      </c>
      <c r="B604" s="149"/>
      <c r="C604" s="152" t="s">
        <v>152</v>
      </c>
      <c r="D604" s="152" t="s">
        <v>181</v>
      </c>
      <c r="E604" s="210" t="s">
        <v>377</v>
      </c>
      <c r="F604" s="208" t="s">
        <v>222</v>
      </c>
      <c r="G604" s="99">
        <f>140+11</f>
        <v>151</v>
      </c>
      <c r="Q604" s="44"/>
    </row>
    <row r="605" spans="1:17" s="32" customFormat="1" ht="26.25">
      <c r="A605" s="150" t="s">
        <v>657</v>
      </c>
      <c r="B605" s="149"/>
      <c r="C605" s="152" t="s">
        <v>152</v>
      </c>
      <c r="D605" s="152" t="s">
        <v>181</v>
      </c>
      <c r="E605" s="210" t="s">
        <v>656</v>
      </c>
      <c r="F605" s="208"/>
      <c r="G605" s="99">
        <f>G606</f>
        <v>645.2</v>
      </c>
      <c r="Q605" s="44"/>
    </row>
    <row r="606" spans="1:17" s="32" customFormat="1" ht="15.75">
      <c r="A606" s="147" t="s">
        <v>220</v>
      </c>
      <c r="B606" s="149"/>
      <c r="C606" s="152" t="s">
        <v>152</v>
      </c>
      <c r="D606" s="152" t="s">
        <v>181</v>
      </c>
      <c r="E606" s="210" t="s">
        <v>656</v>
      </c>
      <c r="F606" s="208" t="s">
        <v>206</v>
      </c>
      <c r="G606" s="99">
        <f>G607</f>
        <v>645.2</v>
      </c>
      <c r="Q606" s="44"/>
    </row>
    <row r="607" spans="1:17" s="32" customFormat="1" ht="15.75">
      <c r="A607" s="148" t="s">
        <v>221</v>
      </c>
      <c r="B607" s="149"/>
      <c r="C607" s="152" t="s">
        <v>152</v>
      </c>
      <c r="D607" s="152" t="s">
        <v>181</v>
      </c>
      <c r="E607" s="210" t="s">
        <v>656</v>
      </c>
      <c r="F607" s="208" t="s">
        <v>222</v>
      </c>
      <c r="G607" s="99">
        <v>645.2</v>
      </c>
      <c r="Q607" s="44"/>
    </row>
    <row r="608" spans="1:17" s="32" customFormat="1" ht="26.25">
      <c r="A608" s="150" t="s">
        <v>612</v>
      </c>
      <c r="B608" s="149"/>
      <c r="C608" s="152" t="s">
        <v>152</v>
      </c>
      <c r="D608" s="152" t="s">
        <v>181</v>
      </c>
      <c r="E608" s="208" t="s">
        <v>611</v>
      </c>
      <c r="F608" s="208"/>
      <c r="G608" s="99">
        <f>G609</f>
        <v>59.7</v>
      </c>
      <c r="Q608" s="44"/>
    </row>
    <row r="609" spans="1:17" s="32" customFormat="1" ht="15.75">
      <c r="A609" s="147" t="s">
        <v>220</v>
      </c>
      <c r="B609" s="149"/>
      <c r="C609" s="152" t="s">
        <v>152</v>
      </c>
      <c r="D609" s="152" t="s">
        <v>181</v>
      </c>
      <c r="E609" s="208" t="s">
        <v>611</v>
      </c>
      <c r="F609" s="208" t="s">
        <v>206</v>
      </c>
      <c r="G609" s="99">
        <f>G610</f>
        <v>59.7</v>
      </c>
      <c r="Q609" s="44"/>
    </row>
    <row r="610" spans="1:17" s="32" customFormat="1" ht="15.75">
      <c r="A610" s="151" t="s">
        <v>221</v>
      </c>
      <c r="B610" s="149"/>
      <c r="C610" s="152" t="s">
        <v>152</v>
      </c>
      <c r="D610" s="152" t="s">
        <v>181</v>
      </c>
      <c r="E610" s="208" t="s">
        <v>611</v>
      </c>
      <c r="F610" s="208" t="s">
        <v>222</v>
      </c>
      <c r="G610" s="99">
        <v>59.7</v>
      </c>
      <c r="Q610" s="44"/>
    </row>
    <row r="611" spans="1:17" s="32" customFormat="1" ht="15.75">
      <c r="A611" s="106" t="s">
        <v>273</v>
      </c>
      <c r="B611" s="107"/>
      <c r="C611" s="173" t="s">
        <v>152</v>
      </c>
      <c r="D611" s="173" t="s">
        <v>152</v>
      </c>
      <c r="E611" s="201"/>
      <c r="F611" s="203"/>
      <c r="G611" s="78">
        <f>G612</f>
        <v>1035.8</v>
      </c>
      <c r="Q611" s="44"/>
    </row>
    <row r="612" spans="1:17" s="32" customFormat="1" ht="15.75">
      <c r="A612" s="134" t="s">
        <v>438</v>
      </c>
      <c r="B612" s="107"/>
      <c r="C612" s="173" t="s">
        <v>152</v>
      </c>
      <c r="D612" s="173" t="s">
        <v>152</v>
      </c>
      <c r="E612" s="201" t="s">
        <v>439</v>
      </c>
      <c r="F612" s="203"/>
      <c r="G612" s="78">
        <f>G613+G620+G623+G626</f>
        <v>1035.8</v>
      </c>
      <c r="Q612" s="44"/>
    </row>
    <row r="613" spans="1:17" s="32" customFormat="1" ht="15.75">
      <c r="A613" s="165" t="s">
        <v>115</v>
      </c>
      <c r="B613" s="137"/>
      <c r="C613" s="174" t="s">
        <v>152</v>
      </c>
      <c r="D613" s="174" t="s">
        <v>152</v>
      </c>
      <c r="E613" s="200" t="s">
        <v>464</v>
      </c>
      <c r="F613" s="202"/>
      <c r="G613" s="74">
        <f>G615+G617+G619</f>
        <v>335</v>
      </c>
      <c r="Q613" s="44"/>
    </row>
    <row r="614" spans="1:17" s="32" customFormat="1" ht="25.5">
      <c r="A614" s="110" t="s">
        <v>139</v>
      </c>
      <c r="B614" s="137"/>
      <c r="C614" s="174" t="s">
        <v>152</v>
      </c>
      <c r="D614" s="174" t="s">
        <v>152</v>
      </c>
      <c r="E614" s="200" t="s">
        <v>464</v>
      </c>
      <c r="F614" s="202" t="s">
        <v>228</v>
      </c>
      <c r="G614" s="74">
        <f>G615</f>
        <v>65</v>
      </c>
      <c r="Q614" s="44"/>
    </row>
    <row r="615" spans="1:17" s="36" customFormat="1" ht="19.5" customHeight="1">
      <c r="A615" s="144" t="s">
        <v>223</v>
      </c>
      <c r="B615" s="137"/>
      <c r="C615" s="174" t="s">
        <v>152</v>
      </c>
      <c r="D615" s="174" t="s">
        <v>152</v>
      </c>
      <c r="E615" s="200" t="s">
        <v>464</v>
      </c>
      <c r="F615" s="202" t="s">
        <v>224</v>
      </c>
      <c r="G615" s="74">
        <v>65</v>
      </c>
      <c r="Q615" s="43"/>
    </row>
    <row r="616" spans="1:17" s="36" customFormat="1" ht="25.5" customHeight="1">
      <c r="A616" s="110" t="s">
        <v>264</v>
      </c>
      <c r="B616" s="137"/>
      <c r="C616" s="174" t="s">
        <v>152</v>
      </c>
      <c r="D616" s="174" t="s">
        <v>152</v>
      </c>
      <c r="E616" s="200" t="s">
        <v>464</v>
      </c>
      <c r="F616" s="202" t="s">
        <v>216</v>
      </c>
      <c r="G616" s="74">
        <f>G617</f>
        <v>60</v>
      </c>
      <c r="Q616" s="43"/>
    </row>
    <row r="617" spans="1:17" s="32" customFormat="1" ht="20.25" customHeight="1">
      <c r="A617" s="144" t="s">
        <v>217</v>
      </c>
      <c r="B617" s="137"/>
      <c r="C617" s="174" t="s">
        <v>152</v>
      </c>
      <c r="D617" s="174" t="s">
        <v>152</v>
      </c>
      <c r="E617" s="200" t="s">
        <v>464</v>
      </c>
      <c r="F617" s="202" t="s">
        <v>215</v>
      </c>
      <c r="G617" s="74">
        <v>60</v>
      </c>
      <c r="Q617" s="44"/>
    </row>
    <row r="618" spans="1:7" ht="15.75">
      <c r="A618" s="128" t="s">
        <v>220</v>
      </c>
      <c r="B618" s="137"/>
      <c r="C618" s="174" t="s">
        <v>152</v>
      </c>
      <c r="D618" s="174" t="s">
        <v>152</v>
      </c>
      <c r="E618" s="200" t="s">
        <v>464</v>
      </c>
      <c r="F618" s="202" t="s">
        <v>206</v>
      </c>
      <c r="G618" s="74">
        <f>G619</f>
        <v>210</v>
      </c>
    </row>
    <row r="619" spans="1:17" s="36" customFormat="1" ht="15.75">
      <c r="A619" s="135" t="s">
        <v>221</v>
      </c>
      <c r="B619" s="137"/>
      <c r="C619" s="174" t="s">
        <v>152</v>
      </c>
      <c r="D619" s="174" t="s">
        <v>152</v>
      </c>
      <c r="E619" s="200" t="s">
        <v>464</v>
      </c>
      <c r="F619" s="202" t="s">
        <v>222</v>
      </c>
      <c r="G619" s="74">
        <f>140+70</f>
        <v>210</v>
      </c>
      <c r="Q619" s="43"/>
    </row>
    <row r="620" spans="1:17" s="36" customFormat="1" ht="15.75">
      <c r="A620" s="165" t="s">
        <v>304</v>
      </c>
      <c r="B620" s="137"/>
      <c r="C620" s="174" t="s">
        <v>152</v>
      </c>
      <c r="D620" s="174" t="s">
        <v>152</v>
      </c>
      <c r="E620" s="200" t="s">
        <v>465</v>
      </c>
      <c r="F620" s="202"/>
      <c r="G620" s="74">
        <f>G621</f>
        <v>149</v>
      </c>
      <c r="Q620" s="43"/>
    </row>
    <row r="621" spans="1:17" s="36" customFormat="1" ht="15.75">
      <c r="A621" s="128" t="s">
        <v>220</v>
      </c>
      <c r="B621" s="137"/>
      <c r="C621" s="174" t="s">
        <v>152</v>
      </c>
      <c r="D621" s="174" t="s">
        <v>152</v>
      </c>
      <c r="E621" s="200" t="s">
        <v>465</v>
      </c>
      <c r="F621" s="202" t="s">
        <v>206</v>
      </c>
      <c r="G621" s="74">
        <f>G622</f>
        <v>149</v>
      </c>
      <c r="Q621" s="43"/>
    </row>
    <row r="622" spans="1:17" s="36" customFormat="1" ht="15.75">
      <c r="A622" s="135" t="s">
        <v>221</v>
      </c>
      <c r="B622" s="137"/>
      <c r="C622" s="174" t="s">
        <v>152</v>
      </c>
      <c r="D622" s="174" t="s">
        <v>152</v>
      </c>
      <c r="E622" s="200" t="s">
        <v>465</v>
      </c>
      <c r="F622" s="202" t="s">
        <v>222</v>
      </c>
      <c r="G622" s="74">
        <f>99+50</f>
        <v>149</v>
      </c>
      <c r="Q622" s="43"/>
    </row>
    <row r="623" spans="1:7" ht="15.75">
      <c r="A623" s="135" t="s">
        <v>330</v>
      </c>
      <c r="B623" s="137"/>
      <c r="C623" s="174" t="s">
        <v>152</v>
      </c>
      <c r="D623" s="174" t="s">
        <v>152</v>
      </c>
      <c r="E623" s="200" t="s">
        <v>466</v>
      </c>
      <c r="F623" s="202"/>
      <c r="G623" s="74">
        <f>G624</f>
        <v>188.8</v>
      </c>
    </row>
    <row r="624" spans="1:7" ht="15.75">
      <c r="A624" s="128" t="s">
        <v>220</v>
      </c>
      <c r="B624" s="137"/>
      <c r="C624" s="174" t="s">
        <v>152</v>
      </c>
      <c r="D624" s="174" t="s">
        <v>152</v>
      </c>
      <c r="E624" s="200" t="s">
        <v>466</v>
      </c>
      <c r="F624" s="202" t="s">
        <v>206</v>
      </c>
      <c r="G624" s="74">
        <f>G625</f>
        <v>188.8</v>
      </c>
    </row>
    <row r="625" spans="1:7" ht="15.75">
      <c r="A625" s="135" t="s">
        <v>221</v>
      </c>
      <c r="B625" s="137"/>
      <c r="C625" s="174" t="s">
        <v>152</v>
      </c>
      <c r="D625" s="174" t="s">
        <v>152</v>
      </c>
      <c r="E625" s="200" t="s">
        <v>466</v>
      </c>
      <c r="F625" s="202" t="s">
        <v>222</v>
      </c>
      <c r="G625" s="74">
        <f>88.8+100</f>
        <v>188.8</v>
      </c>
    </row>
    <row r="626" spans="1:17" ht="15.75">
      <c r="A626" s="180" t="s">
        <v>380</v>
      </c>
      <c r="B626" s="137"/>
      <c r="C626" s="174" t="s">
        <v>152</v>
      </c>
      <c r="D626" s="174" t="s">
        <v>152</v>
      </c>
      <c r="E626" s="200" t="s">
        <v>487</v>
      </c>
      <c r="F626" s="202"/>
      <c r="G626" s="74">
        <f>G627</f>
        <v>363</v>
      </c>
      <c r="Q626" s="68"/>
    </row>
    <row r="627" spans="1:7" ht="15.75">
      <c r="A627" s="128" t="s">
        <v>220</v>
      </c>
      <c r="B627" s="137"/>
      <c r="C627" s="174" t="s">
        <v>152</v>
      </c>
      <c r="D627" s="174" t="s">
        <v>152</v>
      </c>
      <c r="E627" s="200" t="s">
        <v>487</v>
      </c>
      <c r="F627" s="202" t="s">
        <v>206</v>
      </c>
      <c r="G627" s="74">
        <f>G628</f>
        <v>363</v>
      </c>
    </row>
    <row r="628" spans="1:7" ht="15.75">
      <c r="A628" s="135" t="s">
        <v>221</v>
      </c>
      <c r="B628" s="137"/>
      <c r="C628" s="174" t="s">
        <v>152</v>
      </c>
      <c r="D628" s="174" t="s">
        <v>152</v>
      </c>
      <c r="E628" s="200" t="s">
        <v>487</v>
      </c>
      <c r="F628" s="202" t="s">
        <v>222</v>
      </c>
      <c r="G628" s="74">
        <f>78+285</f>
        <v>363</v>
      </c>
    </row>
    <row r="629" spans="1:7" ht="15.75">
      <c r="A629" s="181" t="s">
        <v>308</v>
      </c>
      <c r="B629" s="107"/>
      <c r="C629" s="173" t="s">
        <v>183</v>
      </c>
      <c r="D629" s="173"/>
      <c r="E629" s="201"/>
      <c r="F629" s="203"/>
      <c r="G629" s="78">
        <f>G630</f>
        <v>118297.2</v>
      </c>
    </row>
    <row r="630" spans="1:7" ht="15.75">
      <c r="A630" s="181" t="s">
        <v>184</v>
      </c>
      <c r="B630" s="107"/>
      <c r="C630" s="173" t="s">
        <v>183</v>
      </c>
      <c r="D630" s="173" t="s">
        <v>180</v>
      </c>
      <c r="E630" s="201"/>
      <c r="F630" s="203"/>
      <c r="G630" s="78">
        <f>G631</f>
        <v>118297.2</v>
      </c>
    </row>
    <row r="631" spans="1:7" ht="15.75">
      <c r="A631" s="178" t="s">
        <v>387</v>
      </c>
      <c r="B631" s="111"/>
      <c r="C631" s="173" t="s">
        <v>183</v>
      </c>
      <c r="D631" s="173" t="s">
        <v>180</v>
      </c>
      <c r="E631" s="201" t="s">
        <v>86</v>
      </c>
      <c r="F631" s="203"/>
      <c r="G631" s="78">
        <f>G632</f>
        <v>118297.2</v>
      </c>
    </row>
    <row r="632" spans="1:7" ht="15.75">
      <c r="A632" s="182" t="s">
        <v>388</v>
      </c>
      <c r="B632" s="107"/>
      <c r="C632" s="173" t="s">
        <v>183</v>
      </c>
      <c r="D632" s="173" t="s">
        <v>180</v>
      </c>
      <c r="E632" s="203" t="s">
        <v>87</v>
      </c>
      <c r="F632" s="202"/>
      <c r="G632" s="78">
        <f>G633+G636+G639+G642+G645+G648+G651+G654+G657+G660+G666+G673+G676+G679+G682+G663+G685+G688</f>
        <v>118297.2</v>
      </c>
    </row>
    <row r="633" spans="1:7" ht="18" customHeight="1">
      <c r="A633" s="183" t="s">
        <v>358</v>
      </c>
      <c r="B633" s="111"/>
      <c r="C633" s="174" t="s">
        <v>183</v>
      </c>
      <c r="D633" s="174" t="s">
        <v>180</v>
      </c>
      <c r="E633" s="202" t="s">
        <v>260</v>
      </c>
      <c r="F633" s="202"/>
      <c r="G633" s="74">
        <f>G634</f>
        <v>22392.3</v>
      </c>
    </row>
    <row r="634" spans="1:7" ht="23.25" customHeight="1">
      <c r="A634" s="128" t="s">
        <v>220</v>
      </c>
      <c r="B634" s="111"/>
      <c r="C634" s="174" t="s">
        <v>183</v>
      </c>
      <c r="D634" s="174" t="s">
        <v>180</v>
      </c>
      <c r="E634" s="202" t="s">
        <v>260</v>
      </c>
      <c r="F634" s="202" t="s">
        <v>206</v>
      </c>
      <c r="G634" s="99">
        <f>G635</f>
        <v>22392.3</v>
      </c>
    </row>
    <row r="635" spans="1:7" ht="15" customHeight="1">
      <c r="A635" s="108" t="s">
        <v>221</v>
      </c>
      <c r="B635" s="111"/>
      <c r="C635" s="174" t="s">
        <v>183</v>
      </c>
      <c r="D635" s="174" t="s">
        <v>180</v>
      </c>
      <c r="E635" s="202" t="s">
        <v>260</v>
      </c>
      <c r="F635" s="202" t="s">
        <v>222</v>
      </c>
      <c r="G635" s="99">
        <f>6408.7+10600+3213.8+2169.8</f>
        <v>22392.3</v>
      </c>
    </row>
    <row r="636" spans="1:7" ht="15" customHeight="1">
      <c r="A636" s="144" t="s">
        <v>253</v>
      </c>
      <c r="B636" s="111"/>
      <c r="C636" s="174" t="s">
        <v>183</v>
      </c>
      <c r="D636" s="174" t="s">
        <v>180</v>
      </c>
      <c r="E636" s="202" t="s">
        <v>359</v>
      </c>
      <c r="F636" s="202"/>
      <c r="G636" s="74">
        <f>G637</f>
        <v>14.7</v>
      </c>
    </row>
    <row r="637" spans="1:17" s="32" customFormat="1" ht="17.25" customHeight="1">
      <c r="A637" s="128" t="s">
        <v>220</v>
      </c>
      <c r="B637" s="111"/>
      <c r="C637" s="174" t="s">
        <v>183</v>
      </c>
      <c r="D637" s="174" t="s">
        <v>180</v>
      </c>
      <c r="E637" s="202" t="s">
        <v>359</v>
      </c>
      <c r="F637" s="202" t="s">
        <v>206</v>
      </c>
      <c r="G637" s="99">
        <f>G638</f>
        <v>14.7</v>
      </c>
      <c r="H637" s="37"/>
      <c r="Q637" s="44"/>
    </row>
    <row r="638" spans="1:17" s="32" customFormat="1" ht="15.75">
      <c r="A638" s="108" t="s">
        <v>221</v>
      </c>
      <c r="B638" s="111"/>
      <c r="C638" s="174" t="s">
        <v>183</v>
      </c>
      <c r="D638" s="174" t="s">
        <v>180</v>
      </c>
      <c r="E638" s="202" t="s">
        <v>359</v>
      </c>
      <c r="F638" s="202" t="s">
        <v>222</v>
      </c>
      <c r="G638" s="99">
        <f>11.9+2.8</f>
        <v>14.7</v>
      </c>
      <c r="Q638" s="44"/>
    </row>
    <row r="639" spans="1:7" ht="15" customHeight="1">
      <c r="A639" s="144" t="s">
        <v>328</v>
      </c>
      <c r="B639" s="111"/>
      <c r="C639" s="174" t="s">
        <v>183</v>
      </c>
      <c r="D639" s="174" t="s">
        <v>180</v>
      </c>
      <c r="E639" s="202" t="s">
        <v>360</v>
      </c>
      <c r="F639" s="202"/>
      <c r="G639" s="74">
        <f>G640</f>
        <v>159.9</v>
      </c>
    </row>
    <row r="640" spans="1:17" s="32" customFormat="1" ht="17.25" customHeight="1">
      <c r="A640" s="128" t="s">
        <v>220</v>
      </c>
      <c r="B640" s="111"/>
      <c r="C640" s="174" t="s">
        <v>183</v>
      </c>
      <c r="D640" s="174" t="s">
        <v>180</v>
      </c>
      <c r="E640" s="202" t="s">
        <v>360</v>
      </c>
      <c r="F640" s="202" t="s">
        <v>206</v>
      </c>
      <c r="G640" s="99">
        <f>G641</f>
        <v>159.9</v>
      </c>
      <c r="H640" s="37"/>
      <c r="Q640" s="44"/>
    </row>
    <row r="641" spans="1:17" s="32" customFormat="1" ht="15.75">
      <c r="A641" s="108" t="s">
        <v>221</v>
      </c>
      <c r="B641" s="111"/>
      <c r="C641" s="174" t="s">
        <v>183</v>
      </c>
      <c r="D641" s="174" t="s">
        <v>180</v>
      </c>
      <c r="E641" s="202" t="s">
        <v>360</v>
      </c>
      <c r="F641" s="202" t="s">
        <v>222</v>
      </c>
      <c r="G641" s="99">
        <f>74.5+54.1+16+15.3</f>
        <v>159.9</v>
      </c>
      <c r="Q641" s="44"/>
    </row>
    <row r="642" spans="1:7" ht="15" customHeight="1">
      <c r="A642" s="108" t="s">
        <v>564</v>
      </c>
      <c r="B642" s="111"/>
      <c r="C642" s="174" t="s">
        <v>183</v>
      </c>
      <c r="D642" s="174" t="s">
        <v>180</v>
      </c>
      <c r="E642" s="202" t="s">
        <v>563</v>
      </c>
      <c r="F642" s="202"/>
      <c r="G642" s="99">
        <f>G643</f>
        <v>125</v>
      </c>
    </row>
    <row r="643" spans="1:17" s="32" customFormat="1" ht="17.25" customHeight="1">
      <c r="A643" s="128" t="s">
        <v>220</v>
      </c>
      <c r="B643" s="111"/>
      <c r="C643" s="174" t="s">
        <v>183</v>
      </c>
      <c r="D643" s="174" t="s">
        <v>180</v>
      </c>
      <c r="E643" s="202" t="s">
        <v>563</v>
      </c>
      <c r="F643" s="202" t="s">
        <v>206</v>
      </c>
      <c r="G643" s="99">
        <f>G644</f>
        <v>125</v>
      </c>
      <c r="H643" s="37"/>
      <c r="Q643" s="44"/>
    </row>
    <row r="644" spans="1:17" s="32" customFormat="1" ht="15.75">
      <c r="A644" s="108" t="s">
        <v>221</v>
      </c>
      <c r="B644" s="111"/>
      <c r="C644" s="174" t="s">
        <v>183</v>
      </c>
      <c r="D644" s="174" t="s">
        <v>180</v>
      </c>
      <c r="E644" s="202" t="s">
        <v>563</v>
      </c>
      <c r="F644" s="202" t="s">
        <v>222</v>
      </c>
      <c r="G644" s="99">
        <f>25+100</f>
        <v>125</v>
      </c>
      <c r="Q644" s="44"/>
    </row>
    <row r="645" spans="1:17" s="32" customFormat="1" ht="15.75">
      <c r="A645" s="108" t="s">
        <v>562</v>
      </c>
      <c r="B645" s="111"/>
      <c r="C645" s="174" t="s">
        <v>183</v>
      </c>
      <c r="D645" s="174" t="s">
        <v>180</v>
      </c>
      <c r="E645" s="202" t="s">
        <v>561</v>
      </c>
      <c r="F645" s="202"/>
      <c r="G645" s="99">
        <f>G646</f>
        <v>40</v>
      </c>
      <c r="Q645" s="44"/>
    </row>
    <row r="646" spans="1:17" s="32" customFormat="1" ht="15.75">
      <c r="A646" s="128" t="s">
        <v>220</v>
      </c>
      <c r="B646" s="111"/>
      <c r="C646" s="174" t="s">
        <v>183</v>
      </c>
      <c r="D646" s="174" t="s">
        <v>180</v>
      </c>
      <c r="E646" s="202" t="s">
        <v>561</v>
      </c>
      <c r="F646" s="202" t="s">
        <v>206</v>
      </c>
      <c r="G646" s="99">
        <f>G647</f>
        <v>40</v>
      </c>
      <c r="Q646" s="44"/>
    </row>
    <row r="647" spans="1:17" s="32" customFormat="1" ht="15.75">
      <c r="A647" s="108" t="s">
        <v>221</v>
      </c>
      <c r="B647" s="111"/>
      <c r="C647" s="174" t="s">
        <v>183</v>
      </c>
      <c r="D647" s="174" t="s">
        <v>180</v>
      </c>
      <c r="E647" s="202" t="s">
        <v>561</v>
      </c>
      <c r="F647" s="202" t="s">
        <v>222</v>
      </c>
      <c r="G647" s="99">
        <f>20+20</f>
        <v>40</v>
      </c>
      <c r="Q647" s="44"/>
    </row>
    <row r="648" spans="1:17" s="32" customFormat="1" ht="15.75">
      <c r="A648" s="108" t="s">
        <v>368</v>
      </c>
      <c r="B648" s="111"/>
      <c r="C648" s="174" t="s">
        <v>183</v>
      </c>
      <c r="D648" s="174" t="s">
        <v>180</v>
      </c>
      <c r="E648" s="202" t="s">
        <v>559</v>
      </c>
      <c r="F648" s="202"/>
      <c r="G648" s="99">
        <f>G649</f>
        <v>50</v>
      </c>
      <c r="Q648" s="44"/>
    </row>
    <row r="649" spans="1:17" s="32" customFormat="1" ht="15.75">
      <c r="A649" s="128" t="s">
        <v>220</v>
      </c>
      <c r="B649" s="111"/>
      <c r="C649" s="174" t="s">
        <v>183</v>
      </c>
      <c r="D649" s="174" t="s">
        <v>180</v>
      </c>
      <c r="E649" s="202" t="s">
        <v>559</v>
      </c>
      <c r="F649" s="202" t="s">
        <v>206</v>
      </c>
      <c r="G649" s="99">
        <f>G650</f>
        <v>50</v>
      </c>
      <c r="Q649" s="44"/>
    </row>
    <row r="650" spans="1:17" s="32" customFormat="1" ht="16.5" customHeight="1">
      <c r="A650" s="108" t="s">
        <v>221</v>
      </c>
      <c r="B650" s="111"/>
      <c r="C650" s="174" t="s">
        <v>183</v>
      </c>
      <c r="D650" s="174" t="s">
        <v>180</v>
      </c>
      <c r="E650" s="202" t="s">
        <v>559</v>
      </c>
      <c r="F650" s="202" t="s">
        <v>222</v>
      </c>
      <c r="G650" s="99">
        <f>150-100</f>
        <v>50</v>
      </c>
      <c r="Q650" s="44"/>
    </row>
    <row r="651" spans="1:17" s="32" customFormat="1" ht="15.75">
      <c r="A651" s="135" t="s">
        <v>361</v>
      </c>
      <c r="B651" s="111"/>
      <c r="C651" s="174" t="s">
        <v>183</v>
      </c>
      <c r="D651" s="174" t="s">
        <v>180</v>
      </c>
      <c r="E651" s="202" t="s">
        <v>362</v>
      </c>
      <c r="F651" s="202"/>
      <c r="G651" s="99">
        <f>G652</f>
        <v>127</v>
      </c>
      <c r="Q651" s="44"/>
    </row>
    <row r="652" spans="1:17" s="32" customFormat="1" ht="15.75">
      <c r="A652" s="128" t="s">
        <v>220</v>
      </c>
      <c r="B652" s="111"/>
      <c r="C652" s="174" t="s">
        <v>183</v>
      </c>
      <c r="D652" s="174" t="s">
        <v>180</v>
      </c>
      <c r="E652" s="202" t="s">
        <v>362</v>
      </c>
      <c r="F652" s="202" t="s">
        <v>206</v>
      </c>
      <c r="G652" s="99">
        <f>G653</f>
        <v>127</v>
      </c>
      <c r="Q652" s="44"/>
    </row>
    <row r="653" spans="1:17" s="32" customFormat="1" ht="15.75">
      <c r="A653" s="108" t="s">
        <v>221</v>
      </c>
      <c r="B653" s="111"/>
      <c r="C653" s="174" t="s">
        <v>183</v>
      </c>
      <c r="D653" s="174" t="s">
        <v>180</v>
      </c>
      <c r="E653" s="202" t="s">
        <v>362</v>
      </c>
      <c r="F653" s="202" t="s">
        <v>222</v>
      </c>
      <c r="G653" s="99">
        <f>70+57</f>
        <v>127</v>
      </c>
      <c r="Q653" s="44"/>
    </row>
    <row r="654" spans="1:17" s="32" customFormat="1" ht="15.75">
      <c r="A654" s="108" t="s">
        <v>325</v>
      </c>
      <c r="B654" s="111"/>
      <c r="C654" s="174" t="s">
        <v>183</v>
      </c>
      <c r="D654" s="174" t="s">
        <v>180</v>
      </c>
      <c r="E654" s="202" t="s">
        <v>363</v>
      </c>
      <c r="F654" s="202"/>
      <c r="G654" s="99">
        <f>G655</f>
        <v>808.8</v>
      </c>
      <c r="Q654" s="44"/>
    </row>
    <row r="655" spans="1:17" s="32" customFormat="1" ht="15.75">
      <c r="A655" s="128" t="s">
        <v>220</v>
      </c>
      <c r="B655" s="111"/>
      <c r="C655" s="174" t="s">
        <v>183</v>
      </c>
      <c r="D655" s="174" t="s">
        <v>180</v>
      </c>
      <c r="E655" s="202" t="s">
        <v>363</v>
      </c>
      <c r="F655" s="202" t="s">
        <v>206</v>
      </c>
      <c r="G655" s="99">
        <f>G656</f>
        <v>808.8</v>
      </c>
      <c r="Q655" s="44"/>
    </row>
    <row r="656" spans="1:17" s="32" customFormat="1" ht="20.25" customHeight="1">
      <c r="A656" s="108" t="s">
        <v>221</v>
      </c>
      <c r="B656" s="111"/>
      <c r="C656" s="174" t="s">
        <v>183</v>
      </c>
      <c r="D656" s="174" t="s">
        <v>180</v>
      </c>
      <c r="E656" s="202" t="s">
        <v>363</v>
      </c>
      <c r="F656" s="202" t="s">
        <v>222</v>
      </c>
      <c r="G656" s="99">
        <f>34.5+635.3+88+51</f>
        <v>808.8</v>
      </c>
      <c r="Q656" s="44"/>
    </row>
    <row r="657" spans="1:17" s="32" customFormat="1" ht="15.75">
      <c r="A657" s="108" t="s">
        <v>430</v>
      </c>
      <c r="B657" s="111"/>
      <c r="C657" s="174" t="s">
        <v>183</v>
      </c>
      <c r="D657" s="174" t="s">
        <v>180</v>
      </c>
      <c r="E657" s="202" t="s">
        <v>560</v>
      </c>
      <c r="F657" s="202"/>
      <c r="G657" s="99">
        <f>G658</f>
        <v>308</v>
      </c>
      <c r="Q657" s="44"/>
    </row>
    <row r="658" spans="1:17" s="32" customFormat="1" ht="18" customHeight="1">
      <c r="A658" s="128" t="s">
        <v>220</v>
      </c>
      <c r="B658" s="111"/>
      <c r="C658" s="174" t="s">
        <v>183</v>
      </c>
      <c r="D658" s="174" t="s">
        <v>180</v>
      </c>
      <c r="E658" s="202" t="s">
        <v>560</v>
      </c>
      <c r="F658" s="202" t="s">
        <v>206</v>
      </c>
      <c r="G658" s="99">
        <f>G659</f>
        <v>308</v>
      </c>
      <c r="Q658" s="44"/>
    </row>
    <row r="659" spans="1:17" s="32" customFormat="1" ht="18.75" customHeight="1">
      <c r="A659" s="108" t="s">
        <v>221</v>
      </c>
      <c r="B659" s="111"/>
      <c r="C659" s="174" t="s">
        <v>183</v>
      </c>
      <c r="D659" s="174" t="s">
        <v>180</v>
      </c>
      <c r="E659" s="202" t="s">
        <v>560</v>
      </c>
      <c r="F659" s="202" t="s">
        <v>222</v>
      </c>
      <c r="G659" s="99">
        <f>192+116</f>
        <v>308</v>
      </c>
      <c r="Q659" s="44"/>
    </row>
    <row r="660" spans="1:17" s="32" customFormat="1" ht="15.75">
      <c r="A660" s="108" t="s">
        <v>364</v>
      </c>
      <c r="B660" s="111"/>
      <c r="C660" s="174" t="s">
        <v>183</v>
      </c>
      <c r="D660" s="174" t="s">
        <v>180</v>
      </c>
      <c r="E660" s="202" t="s">
        <v>365</v>
      </c>
      <c r="F660" s="202"/>
      <c r="G660" s="99">
        <f>G661</f>
        <v>20.3</v>
      </c>
      <c r="Q660" s="44"/>
    </row>
    <row r="661" spans="1:17" s="32" customFormat="1" ht="15.75">
      <c r="A661" s="128" t="s">
        <v>220</v>
      </c>
      <c r="B661" s="111"/>
      <c r="C661" s="174" t="s">
        <v>183</v>
      </c>
      <c r="D661" s="174" t="s">
        <v>180</v>
      </c>
      <c r="E661" s="202" t="s">
        <v>365</v>
      </c>
      <c r="F661" s="202" t="s">
        <v>206</v>
      </c>
      <c r="G661" s="99">
        <f>G662</f>
        <v>20.3</v>
      </c>
      <c r="Q661" s="44"/>
    </row>
    <row r="662" spans="1:17" s="32" customFormat="1" ht="15.75">
      <c r="A662" s="108" t="s">
        <v>221</v>
      </c>
      <c r="B662" s="111"/>
      <c r="C662" s="174" t="s">
        <v>183</v>
      </c>
      <c r="D662" s="174" t="s">
        <v>180</v>
      </c>
      <c r="E662" s="202" t="s">
        <v>365</v>
      </c>
      <c r="F662" s="202" t="s">
        <v>222</v>
      </c>
      <c r="G662" s="99">
        <f>7.5+7.5+2.5+2.8</f>
        <v>20.3</v>
      </c>
      <c r="Q662" s="44"/>
    </row>
    <row r="663" spans="1:17" s="32" customFormat="1" ht="15.75">
      <c r="A663" s="112" t="s">
        <v>617</v>
      </c>
      <c r="B663" s="111"/>
      <c r="C663" s="174" t="s">
        <v>183</v>
      </c>
      <c r="D663" s="174" t="s">
        <v>180</v>
      </c>
      <c r="E663" s="202" t="s">
        <v>622</v>
      </c>
      <c r="F663" s="202"/>
      <c r="G663" s="99">
        <f>G664</f>
        <v>1800</v>
      </c>
      <c r="Q663" s="44"/>
    </row>
    <row r="664" spans="1:17" s="32" customFormat="1" ht="15.75">
      <c r="A664" s="128" t="s">
        <v>220</v>
      </c>
      <c r="B664" s="111"/>
      <c r="C664" s="174" t="s">
        <v>183</v>
      </c>
      <c r="D664" s="174" t="s">
        <v>180</v>
      </c>
      <c r="E664" s="202" t="s">
        <v>622</v>
      </c>
      <c r="F664" s="202" t="s">
        <v>206</v>
      </c>
      <c r="G664" s="99">
        <f>G665</f>
        <v>1800</v>
      </c>
      <c r="Q664" s="44"/>
    </row>
    <row r="665" spans="1:17" s="32" customFormat="1" ht="15.75">
      <c r="A665" s="135" t="s">
        <v>221</v>
      </c>
      <c r="B665" s="111"/>
      <c r="C665" s="174" t="s">
        <v>183</v>
      </c>
      <c r="D665" s="174" t="s">
        <v>180</v>
      </c>
      <c r="E665" s="202" t="s">
        <v>622</v>
      </c>
      <c r="F665" s="202" t="s">
        <v>222</v>
      </c>
      <c r="G665" s="99">
        <v>1800</v>
      </c>
      <c r="Q665" s="44"/>
    </row>
    <row r="666" spans="1:7" ht="15.75">
      <c r="A666" s="144" t="s">
        <v>249</v>
      </c>
      <c r="B666" s="111"/>
      <c r="C666" s="174" t="s">
        <v>183</v>
      </c>
      <c r="D666" s="174" t="s">
        <v>180</v>
      </c>
      <c r="E666" s="202" t="s">
        <v>250</v>
      </c>
      <c r="F666" s="202"/>
      <c r="G666" s="74">
        <f>G667+G670</f>
        <v>73442.7</v>
      </c>
    </row>
    <row r="667" spans="1:17" s="32" customFormat="1" ht="15.75" customHeight="1">
      <c r="A667" s="144" t="s">
        <v>262</v>
      </c>
      <c r="B667" s="111"/>
      <c r="C667" s="174" t="s">
        <v>183</v>
      </c>
      <c r="D667" s="174" t="s">
        <v>180</v>
      </c>
      <c r="E667" s="202" t="s">
        <v>251</v>
      </c>
      <c r="F667" s="202"/>
      <c r="G667" s="74">
        <f>G668</f>
        <v>52368.9</v>
      </c>
      <c r="Q667" s="44"/>
    </row>
    <row r="668" spans="1:17" s="32" customFormat="1" ht="15.75">
      <c r="A668" s="128" t="s">
        <v>220</v>
      </c>
      <c r="B668" s="111"/>
      <c r="C668" s="174" t="s">
        <v>183</v>
      </c>
      <c r="D668" s="174" t="s">
        <v>180</v>
      </c>
      <c r="E668" s="202" t="s">
        <v>251</v>
      </c>
      <c r="F668" s="202" t="s">
        <v>206</v>
      </c>
      <c r="G668" s="74">
        <f>G669</f>
        <v>52368.9</v>
      </c>
      <c r="Q668" s="44"/>
    </row>
    <row r="669" spans="1:17" s="32" customFormat="1" ht="15.75">
      <c r="A669" s="108" t="s">
        <v>221</v>
      </c>
      <c r="B669" s="111"/>
      <c r="C669" s="174" t="s">
        <v>183</v>
      </c>
      <c r="D669" s="174" t="s">
        <v>180</v>
      </c>
      <c r="E669" s="202" t="s">
        <v>251</v>
      </c>
      <c r="F669" s="202" t="s">
        <v>222</v>
      </c>
      <c r="G669" s="74">
        <f>49681.7+250+50.3+2306.9+80</f>
        <v>52368.9</v>
      </c>
      <c r="Q669" s="44"/>
    </row>
    <row r="670" spans="1:17" s="32" customFormat="1" ht="15.75">
      <c r="A670" s="108" t="s">
        <v>366</v>
      </c>
      <c r="B670" s="111"/>
      <c r="C670" s="174" t="s">
        <v>183</v>
      </c>
      <c r="D670" s="174" t="s">
        <v>180</v>
      </c>
      <c r="E670" s="202" t="s">
        <v>252</v>
      </c>
      <c r="F670" s="202"/>
      <c r="G670" s="74">
        <f>G671</f>
        <v>21073.8</v>
      </c>
      <c r="Q670" s="44"/>
    </row>
    <row r="671" spans="1:17" s="32" customFormat="1" ht="15.75">
      <c r="A671" s="128" t="s">
        <v>220</v>
      </c>
      <c r="B671" s="111"/>
      <c r="C671" s="174" t="s">
        <v>183</v>
      </c>
      <c r="D671" s="174" t="s">
        <v>180</v>
      </c>
      <c r="E671" s="202" t="s">
        <v>252</v>
      </c>
      <c r="F671" s="202" t="s">
        <v>206</v>
      </c>
      <c r="G671" s="74">
        <f>G672</f>
        <v>21073.8</v>
      </c>
      <c r="Q671" s="44"/>
    </row>
    <row r="672" spans="1:17" s="32" customFormat="1" ht="15.75" hidden="1">
      <c r="A672" s="108" t="s">
        <v>221</v>
      </c>
      <c r="B672" s="111"/>
      <c r="C672" s="174" t="s">
        <v>183</v>
      </c>
      <c r="D672" s="174" t="s">
        <v>180</v>
      </c>
      <c r="E672" s="202" t="s">
        <v>252</v>
      </c>
      <c r="F672" s="202" t="s">
        <v>222</v>
      </c>
      <c r="G672" s="74">
        <f>19827.6+110.5+59.2+876.5+200</f>
        <v>21073.8</v>
      </c>
      <c r="Q672" s="44"/>
    </row>
    <row r="673" spans="1:17" s="32" customFormat="1" ht="25.5" hidden="1">
      <c r="A673" s="130" t="s">
        <v>367</v>
      </c>
      <c r="B673" s="111"/>
      <c r="C673" s="174" t="s">
        <v>183</v>
      </c>
      <c r="D673" s="174" t="s">
        <v>180</v>
      </c>
      <c r="E673" s="202" t="s">
        <v>316</v>
      </c>
      <c r="F673" s="236"/>
      <c r="G673" s="74">
        <f>G674</f>
        <v>1350</v>
      </c>
      <c r="Q673" s="44"/>
    </row>
    <row r="674" spans="1:17" s="32" customFormat="1" ht="15.75">
      <c r="A674" s="128" t="s">
        <v>220</v>
      </c>
      <c r="B674" s="111"/>
      <c r="C674" s="174" t="s">
        <v>183</v>
      </c>
      <c r="D674" s="174" t="s">
        <v>180</v>
      </c>
      <c r="E674" s="202" t="s">
        <v>316</v>
      </c>
      <c r="F674" s="202" t="s">
        <v>206</v>
      </c>
      <c r="G674" s="74">
        <f>G675</f>
        <v>1350</v>
      </c>
      <c r="Q674" s="44"/>
    </row>
    <row r="675" spans="1:17" s="32" customFormat="1" ht="15.75">
      <c r="A675" s="108" t="s">
        <v>221</v>
      </c>
      <c r="B675" s="111"/>
      <c r="C675" s="174" t="s">
        <v>183</v>
      </c>
      <c r="D675" s="174" t="s">
        <v>180</v>
      </c>
      <c r="E675" s="202" t="s">
        <v>316</v>
      </c>
      <c r="F675" s="202" t="s">
        <v>222</v>
      </c>
      <c r="G675" s="74">
        <f>1250+100</f>
        <v>1350</v>
      </c>
      <c r="Q675" s="44"/>
    </row>
    <row r="676" spans="1:17" s="32" customFormat="1" ht="15.75">
      <c r="A676" s="130" t="s">
        <v>538</v>
      </c>
      <c r="B676" s="111"/>
      <c r="C676" s="174" t="s">
        <v>183</v>
      </c>
      <c r="D676" s="174" t="s">
        <v>180</v>
      </c>
      <c r="E676" s="202" t="s">
        <v>537</v>
      </c>
      <c r="F676" s="236"/>
      <c r="G676" s="74">
        <f>G677</f>
        <v>8562.6</v>
      </c>
      <c r="Q676" s="44"/>
    </row>
    <row r="677" spans="1:17" s="34" customFormat="1" ht="15.75">
      <c r="A677" s="128" t="s">
        <v>220</v>
      </c>
      <c r="B677" s="111"/>
      <c r="C677" s="174" t="s">
        <v>183</v>
      </c>
      <c r="D677" s="174" t="s">
        <v>180</v>
      </c>
      <c r="E677" s="202" t="s">
        <v>537</v>
      </c>
      <c r="F677" s="202" t="s">
        <v>206</v>
      </c>
      <c r="G677" s="74">
        <f>G678</f>
        <v>8562.6</v>
      </c>
      <c r="Q677" s="71"/>
    </row>
    <row r="678" spans="1:17" s="32" customFormat="1" ht="15.75">
      <c r="A678" s="135" t="s">
        <v>221</v>
      </c>
      <c r="B678" s="111"/>
      <c r="C678" s="174" t="s">
        <v>183</v>
      </c>
      <c r="D678" s="174" t="s">
        <v>180</v>
      </c>
      <c r="E678" s="202" t="s">
        <v>537</v>
      </c>
      <c r="F678" s="202" t="s">
        <v>222</v>
      </c>
      <c r="G678" s="74">
        <v>8562.6</v>
      </c>
      <c r="Q678" s="44"/>
    </row>
    <row r="679" spans="1:7" ht="15.75">
      <c r="A679" s="130" t="s">
        <v>541</v>
      </c>
      <c r="B679" s="111"/>
      <c r="C679" s="174" t="s">
        <v>183</v>
      </c>
      <c r="D679" s="174" t="s">
        <v>180</v>
      </c>
      <c r="E679" s="202" t="s">
        <v>542</v>
      </c>
      <c r="F679" s="236"/>
      <c r="G679" s="74">
        <f aca="true" t="shared" si="5" ref="G679:G689">G680</f>
        <v>222.5</v>
      </c>
    </row>
    <row r="680" spans="1:17" s="32" customFormat="1" ht="15.75" customHeight="1">
      <c r="A680" s="128" t="s">
        <v>220</v>
      </c>
      <c r="B680" s="111"/>
      <c r="C680" s="174" t="s">
        <v>183</v>
      </c>
      <c r="D680" s="174" t="s">
        <v>180</v>
      </c>
      <c r="E680" s="202" t="s">
        <v>542</v>
      </c>
      <c r="F680" s="202" t="s">
        <v>206</v>
      </c>
      <c r="G680" s="74">
        <f t="shared" si="5"/>
        <v>222.5</v>
      </c>
      <c r="Q680" s="44"/>
    </row>
    <row r="681" spans="1:17" s="32" customFormat="1" ht="18" customHeight="1">
      <c r="A681" s="108" t="s">
        <v>221</v>
      </c>
      <c r="B681" s="111"/>
      <c r="C681" s="174" t="s">
        <v>183</v>
      </c>
      <c r="D681" s="174" t="s">
        <v>180</v>
      </c>
      <c r="E681" s="202" t="s">
        <v>542</v>
      </c>
      <c r="F681" s="202" t="s">
        <v>222</v>
      </c>
      <c r="G681" s="74">
        <f>206.9+15.6</f>
        <v>222.5</v>
      </c>
      <c r="Q681" s="44"/>
    </row>
    <row r="682" spans="1:17" s="32" customFormat="1" ht="18.75" customHeight="1">
      <c r="A682" s="130" t="s">
        <v>604</v>
      </c>
      <c r="B682" s="111"/>
      <c r="C682" s="174" t="s">
        <v>183</v>
      </c>
      <c r="D682" s="174" t="s">
        <v>180</v>
      </c>
      <c r="E682" s="202" t="s">
        <v>603</v>
      </c>
      <c r="F682" s="236"/>
      <c r="G682" s="74">
        <f t="shared" si="5"/>
        <v>58.5</v>
      </c>
      <c r="Q682" s="44"/>
    </row>
    <row r="683" spans="1:17" s="32" customFormat="1" ht="15.75">
      <c r="A683" s="128" t="s">
        <v>220</v>
      </c>
      <c r="B683" s="111"/>
      <c r="C683" s="174" t="s">
        <v>183</v>
      </c>
      <c r="D683" s="174" t="s">
        <v>180</v>
      </c>
      <c r="E683" s="202" t="s">
        <v>603</v>
      </c>
      <c r="F683" s="202" t="s">
        <v>206</v>
      </c>
      <c r="G683" s="74">
        <f t="shared" si="5"/>
        <v>58.5</v>
      </c>
      <c r="Q683" s="44"/>
    </row>
    <row r="684" spans="1:17" s="32" customFormat="1" ht="15.75">
      <c r="A684" s="108" t="s">
        <v>221</v>
      </c>
      <c r="B684" s="111"/>
      <c r="C684" s="174" t="s">
        <v>183</v>
      </c>
      <c r="D684" s="174" t="s">
        <v>180</v>
      </c>
      <c r="E684" s="202" t="s">
        <v>603</v>
      </c>
      <c r="F684" s="202" t="s">
        <v>222</v>
      </c>
      <c r="G684" s="74">
        <v>58.5</v>
      </c>
      <c r="Q684" s="44"/>
    </row>
    <row r="685" spans="1:17" s="32" customFormat="1" ht="15.75">
      <c r="A685" s="130" t="s">
        <v>635</v>
      </c>
      <c r="B685" s="111"/>
      <c r="C685" s="174" t="s">
        <v>183</v>
      </c>
      <c r="D685" s="174" t="s">
        <v>180</v>
      </c>
      <c r="E685" s="202" t="s">
        <v>636</v>
      </c>
      <c r="F685" s="236"/>
      <c r="G685" s="74">
        <f t="shared" si="5"/>
        <v>6639.200000000001</v>
      </c>
      <c r="Q685" s="44"/>
    </row>
    <row r="686" spans="1:7" ht="15.75">
      <c r="A686" s="128" t="s">
        <v>220</v>
      </c>
      <c r="B686" s="111"/>
      <c r="C686" s="174" t="s">
        <v>183</v>
      </c>
      <c r="D686" s="174" t="s">
        <v>180</v>
      </c>
      <c r="E686" s="202" t="s">
        <v>636</v>
      </c>
      <c r="F686" s="202" t="s">
        <v>206</v>
      </c>
      <c r="G686" s="74">
        <f t="shared" si="5"/>
        <v>6639.200000000001</v>
      </c>
    </row>
    <row r="687" spans="1:17" s="32" customFormat="1" ht="18" customHeight="1">
      <c r="A687" s="108" t="s">
        <v>221</v>
      </c>
      <c r="B687" s="111"/>
      <c r="C687" s="174" t="s">
        <v>183</v>
      </c>
      <c r="D687" s="174" t="s">
        <v>180</v>
      </c>
      <c r="E687" s="202" t="s">
        <v>636</v>
      </c>
      <c r="F687" s="202" t="s">
        <v>222</v>
      </c>
      <c r="G687" s="74">
        <f>191.8+1407.3+5040.1</f>
        <v>6639.200000000001</v>
      </c>
      <c r="Q687" s="44"/>
    </row>
    <row r="688" spans="1:17" s="32" customFormat="1" ht="18" customHeight="1">
      <c r="A688" s="130" t="s">
        <v>635</v>
      </c>
      <c r="B688" s="111"/>
      <c r="C688" s="174" t="s">
        <v>183</v>
      </c>
      <c r="D688" s="174" t="s">
        <v>180</v>
      </c>
      <c r="E688" s="202" t="s">
        <v>637</v>
      </c>
      <c r="F688" s="236"/>
      <c r="G688" s="74">
        <f t="shared" si="5"/>
        <v>2175.7</v>
      </c>
      <c r="Q688" s="44"/>
    </row>
    <row r="689" spans="1:17" s="32" customFormat="1" ht="18.75" customHeight="1">
      <c r="A689" s="128" t="s">
        <v>220</v>
      </c>
      <c r="B689" s="111"/>
      <c r="C689" s="174" t="s">
        <v>183</v>
      </c>
      <c r="D689" s="174" t="s">
        <v>180</v>
      </c>
      <c r="E689" s="202" t="s">
        <v>637</v>
      </c>
      <c r="F689" s="202" t="s">
        <v>206</v>
      </c>
      <c r="G689" s="74">
        <f t="shared" si="5"/>
        <v>2175.7</v>
      </c>
      <c r="Q689" s="44"/>
    </row>
    <row r="690" spans="1:17" s="32" customFormat="1" ht="15.75">
      <c r="A690" s="108" t="s">
        <v>221</v>
      </c>
      <c r="B690" s="111"/>
      <c r="C690" s="174" t="s">
        <v>183</v>
      </c>
      <c r="D690" s="174" t="s">
        <v>180</v>
      </c>
      <c r="E690" s="202" t="s">
        <v>637</v>
      </c>
      <c r="F690" s="202" t="s">
        <v>222</v>
      </c>
      <c r="G690" s="74">
        <f>205.1+63+1907.6</f>
        <v>2175.7</v>
      </c>
      <c r="Q690" s="44"/>
    </row>
    <row r="691" spans="1:17" s="32" customFormat="1" ht="15.75">
      <c r="A691" s="106" t="s">
        <v>178</v>
      </c>
      <c r="B691" s="115"/>
      <c r="C691" s="173" t="s">
        <v>150</v>
      </c>
      <c r="D691" s="173"/>
      <c r="E691" s="201"/>
      <c r="F691" s="202"/>
      <c r="G691" s="78">
        <f>G692+G702</f>
        <v>705.9</v>
      </c>
      <c r="Q691" s="44"/>
    </row>
    <row r="692" spans="1:17" s="32" customFormat="1" ht="15.75">
      <c r="A692" s="129" t="s">
        <v>147</v>
      </c>
      <c r="B692" s="115"/>
      <c r="C692" s="173" t="s">
        <v>150</v>
      </c>
      <c r="D692" s="173" t="s">
        <v>181</v>
      </c>
      <c r="E692" s="201"/>
      <c r="F692" s="202"/>
      <c r="G692" s="78">
        <f>G693</f>
        <v>505.9</v>
      </c>
      <c r="Q692" s="44"/>
    </row>
    <row r="693" spans="1:7" ht="15.75">
      <c r="A693" s="114" t="s">
        <v>400</v>
      </c>
      <c r="B693" s="115"/>
      <c r="C693" s="173" t="s">
        <v>150</v>
      </c>
      <c r="D693" s="173" t="s">
        <v>181</v>
      </c>
      <c r="E693" s="201" t="s">
        <v>95</v>
      </c>
      <c r="F693" s="202"/>
      <c r="G693" s="78">
        <f>G698+G694</f>
        <v>505.9</v>
      </c>
    </row>
    <row r="694" spans="1:7" ht="20.25" customHeight="1" hidden="1">
      <c r="A694" s="114" t="s">
        <v>450</v>
      </c>
      <c r="B694" s="115"/>
      <c r="C694" s="173" t="s">
        <v>150</v>
      </c>
      <c r="D694" s="173" t="s">
        <v>181</v>
      </c>
      <c r="E694" s="201" t="s">
        <v>54</v>
      </c>
      <c r="F694" s="202"/>
      <c r="G694" s="78">
        <f>G695</f>
        <v>489.7</v>
      </c>
    </row>
    <row r="695" spans="1:17" s="32" customFormat="1" ht="15.75" hidden="1">
      <c r="A695" s="112" t="s">
        <v>111</v>
      </c>
      <c r="B695" s="137"/>
      <c r="C695" s="174" t="s">
        <v>150</v>
      </c>
      <c r="D695" s="174" t="s">
        <v>181</v>
      </c>
      <c r="E695" s="200" t="s">
        <v>55</v>
      </c>
      <c r="F695" s="202"/>
      <c r="G695" s="74">
        <f>SUM(G696)</f>
        <v>489.7</v>
      </c>
      <c r="Q695" s="44"/>
    </row>
    <row r="696" spans="1:17" s="32" customFormat="1" ht="15.75" hidden="1">
      <c r="A696" s="184" t="s">
        <v>264</v>
      </c>
      <c r="B696" s="137"/>
      <c r="C696" s="174" t="s">
        <v>150</v>
      </c>
      <c r="D696" s="174" t="s">
        <v>181</v>
      </c>
      <c r="E696" s="200" t="s">
        <v>55</v>
      </c>
      <c r="F696" s="202" t="s">
        <v>216</v>
      </c>
      <c r="G696" s="74">
        <f>G697</f>
        <v>489.7</v>
      </c>
      <c r="Q696" s="44"/>
    </row>
    <row r="697" spans="1:17" s="32" customFormat="1" ht="15.75">
      <c r="A697" s="136" t="s">
        <v>217</v>
      </c>
      <c r="B697" s="137"/>
      <c r="C697" s="174" t="s">
        <v>150</v>
      </c>
      <c r="D697" s="174" t="s">
        <v>181</v>
      </c>
      <c r="E697" s="200" t="s">
        <v>55</v>
      </c>
      <c r="F697" s="202" t="s">
        <v>215</v>
      </c>
      <c r="G697" s="74">
        <f>200+289.7</f>
        <v>489.7</v>
      </c>
      <c r="Q697" s="44"/>
    </row>
    <row r="698" spans="1:17" s="32" customFormat="1" ht="15.75">
      <c r="A698" s="114" t="s">
        <v>245</v>
      </c>
      <c r="B698" s="115"/>
      <c r="C698" s="173" t="s">
        <v>150</v>
      </c>
      <c r="D698" s="173" t="s">
        <v>181</v>
      </c>
      <c r="E698" s="201" t="s">
        <v>56</v>
      </c>
      <c r="F698" s="202"/>
      <c r="G698" s="78">
        <f>G699</f>
        <v>16.2</v>
      </c>
      <c r="Q698" s="44"/>
    </row>
    <row r="699" spans="1:17" s="32" customFormat="1" ht="25.5">
      <c r="A699" s="112" t="s">
        <v>401</v>
      </c>
      <c r="B699" s="137"/>
      <c r="C699" s="174" t="s">
        <v>150</v>
      </c>
      <c r="D699" s="174" t="s">
        <v>181</v>
      </c>
      <c r="E699" s="200" t="s">
        <v>451</v>
      </c>
      <c r="F699" s="202"/>
      <c r="G699" s="74">
        <f>SUM(G700)</f>
        <v>16.2</v>
      </c>
      <c r="Q699" s="44"/>
    </row>
    <row r="700" spans="1:17" s="32" customFormat="1" ht="15.75">
      <c r="A700" s="184" t="s">
        <v>264</v>
      </c>
      <c r="B700" s="137"/>
      <c r="C700" s="174" t="s">
        <v>150</v>
      </c>
      <c r="D700" s="174" t="s">
        <v>181</v>
      </c>
      <c r="E700" s="200" t="s">
        <v>451</v>
      </c>
      <c r="F700" s="202" t="s">
        <v>216</v>
      </c>
      <c r="G700" s="74">
        <f>G701</f>
        <v>16.2</v>
      </c>
      <c r="Q700" s="44"/>
    </row>
    <row r="701" spans="1:17" s="32" customFormat="1" ht="19.5" customHeight="1">
      <c r="A701" s="136" t="s">
        <v>217</v>
      </c>
      <c r="B701" s="137"/>
      <c r="C701" s="174" t="s">
        <v>150</v>
      </c>
      <c r="D701" s="174" t="s">
        <v>181</v>
      </c>
      <c r="E701" s="200" t="s">
        <v>451</v>
      </c>
      <c r="F701" s="202" t="s">
        <v>215</v>
      </c>
      <c r="G701" s="74">
        <v>16.2</v>
      </c>
      <c r="Q701" s="44"/>
    </row>
    <row r="702" spans="1:17" s="32" customFormat="1" ht="15.75">
      <c r="A702" s="125" t="s">
        <v>453</v>
      </c>
      <c r="B702" s="177"/>
      <c r="C702" s="153" t="s">
        <v>150</v>
      </c>
      <c r="D702" s="153" t="s">
        <v>181</v>
      </c>
      <c r="E702" s="206" t="s">
        <v>452</v>
      </c>
      <c r="F702" s="208"/>
      <c r="G702" s="78">
        <f>G703</f>
        <v>200</v>
      </c>
      <c r="Q702" s="44"/>
    </row>
    <row r="703" spans="1:17" s="32" customFormat="1" ht="15.75">
      <c r="A703" s="112" t="s">
        <v>111</v>
      </c>
      <c r="B703" s="177"/>
      <c r="C703" s="152" t="s">
        <v>150</v>
      </c>
      <c r="D703" s="152" t="s">
        <v>181</v>
      </c>
      <c r="E703" s="210" t="s">
        <v>454</v>
      </c>
      <c r="F703" s="208"/>
      <c r="G703" s="74">
        <f>G704</f>
        <v>200</v>
      </c>
      <c r="Q703" s="44"/>
    </row>
    <row r="704" spans="1:17" s="32" customFormat="1" ht="16.5" customHeight="1">
      <c r="A704" s="128" t="s">
        <v>102</v>
      </c>
      <c r="B704" s="177"/>
      <c r="C704" s="152" t="s">
        <v>150</v>
      </c>
      <c r="D704" s="152" t="s">
        <v>181</v>
      </c>
      <c r="E704" s="210" t="s">
        <v>454</v>
      </c>
      <c r="F704" s="208" t="s">
        <v>98</v>
      </c>
      <c r="G704" s="74">
        <f>G705</f>
        <v>200</v>
      </c>
      <c r="Q704" s="44"/>
    </row>
    <row r="705" spans="1:17" s="32" customFormat="1" ht="15.75">
      <c r="A705" s="112" t="s">
        <v>578</v>
      </c>
      <c r="B705" s="177"/>
      <c r="C705" s="152" t="s">
        <v>150</v>
      </c>
      <c r="D705" s="152" t="s">
        <v>181</v>
      </c>
      <c r="E705" s="210" t="s">
        <v>454</v>
      </c>
      <c r="F705" s="208" t="s">
        <v>577</v>
      </c>
      <c r="G705" s="74">
        <v>200</v>
      </c>
      <c r="Q705" s="44"/>
    </row>
    <row r="706" spans="1:17" s="32" customFormat="1" ht="15.75">
      <c r="A706" s="106" t="s">
        <v>186</v>
      </c>
      <c r="B706" s="107"/>
      <c r="C706" s="173" t="s">
        <v>179</v>
      </c>
      <c r="D706" s="173"/>
      <c r="E706" s="201"/>
      <c r="F706" s="203"/>
      <c r="G706" s="78">
        <f>G707</f>
        <v>20522.3</v>
      </c>
      <c r="Q706" s="44"/>
    </row>
    <row r="707" spans="1:17" s="32" customFormat="1" ht="16.5" customHeight="1">
      <c r="A707" s="106" t="s">
        <v>213</v>
      </c>
      <c r="B707" s="107"/>
      <c r="C707" s="173" t="s">
        <v>179</v>
      </c>
      <c r="D707" s="173" t="s">
        <v>197</v>
      </c>
      <c r="E707" s="201"/>
      <c r="F707" s="203"/>
      <c r="G707" s="78">
        <f>G708</f>
        <v>20522.3</v>
      </c>
      <c r="Q707" s="44"/>
    </row>
    <row r="708" spans="1:17" s="36" customFormat="1" ht="26.25">
      <c r="A708" s="145" t="s">
        <v>436</v>
      </c>
      <c r="B708" s="107"/>
      <c r="C708" s="173" t="s">
        <v>179</v>
      </c>
      <c r="D708" s="173" t="s">
        <v>197</v>
      </c>
      <c r="E708" s="201" t="s">
        <v>44</v>
      </c>
      <c r="F708" s="203"/>
      <c r="G708" s="78">
        <f>G709+G721</f>
        <v>20522.3</v>
      </c>
      <c r="Q708" s="43"/>
    </row>
    <row r="709" spans="1:17" s="36" customFormat="1" ht="15.75">
      <c r="A709" s="185" t="s">
        <v>447</v>
      </c>
      <c r="B709" s="107"/>
      <c r="C709" s="173" t="s">
        <v>179</v>
      </c>
      <c r="D709" s="173" t="s">
        <v>197</v>
      </c>
      <c r="E709" s="201" t="s">
        <v>263</v>
      </c>
      <c r="F709" s="203"/>
      <c r="G709" s="78">
        <f>G713+G718+G710</f>
        <v>499.5</v>
      </c>
      <c r="Q709" s="43"/>
    </row>
    <row r="710" spans="1:17" s="36" customFormat="1" ht="15.75">
      <c r="A710" s="112" t="s">
        <v>564</v>
      </c>
      <c r="B710" s="113"/>
      <c r="C710" s="174" t="s">
        <v>179</v>
      </c>
      <c r="D710" s="174" t="s">
        <v>197</v>
      </c>
      <c r="E710" s="210" t="s">
        <v>638</v>
      </c>
      <c r="F710" s="208"/>
      <c r="G710" s="74">
        <f>G711</f>
        <v>58</v>
      </c>
      <c r="Q710" s="43"/>
    </row>
    <row r="711" spans="1:17" s="36" customFormat="1" ht="15.75">
      <c r="A711" s="110" t="s">
        <v>264</v>
      </c>
      <c r="B711" s="111"/>
      <c r="C711" s="174" t="s">
        <v>179</v>
      </c>
      <c r="D711" s="174" t="s">
        <v>197</v>
      </c>
      <c r="E711" s="210" t="s">
        <v>638</v>
      </c>
      <c r="F711" s="208" t="s">
        <v>216</v>
      </c>
      <c r="G711" s="74">
        <f>G712</f>
        <v>58</v>
      </c>
      <c r="Q711" s="43"/>
    </row>
    <row r="712" spans="1:17" s="36" customFormat="1" ht="15.75">
      <c r="A712" s="110" t="s">
        <v>217</v>
      </c>
      <c r="B712" s="113"/>
      <c r="C712" s="174" t="s">
        <v>179</v>
      </c>
      <c r="D712" s="174" t="s">
        <v>197</v>
      </c>
      <c r="E712" s="210" t="s">
        <v>638</v>
      </c>
      <c r="F712" s="208" t="s">
        <v>215</v>
      </c>
      <c r="G712" s="74">
        <v>58</v>
      </c>
      <c r="Q712" s="43"/>
    </row>
    <row r="713" spans="1:17" s="32" customFormat="1" ht="15.75">
      <c r="A713" s="108" t="s">
        <v>389</v>
      </c>
      <c r="B713" s="111"/>
      <c r="C713" s="174" t="s">
        <v>179</v>
      </c>
      <c r="D713" s="174" t="s">
        <v>197</v>
      </c>
      <c r="E713" s="200" t="s">
        <v>45</v>
      </c>
      <c r="F713" s="202"/>
      <c r="G713" s="74">
        <f>G715+G717</f>
        <v>351.5</v>
      </c>
      <c r="Q713" s="44"/>
    </row>
    <row r="714" spans="1:17" s="32" customFormat="1" ht="15.75">
      <c r="A714" s="110" t="s">
        <v>264</v>
      </c>
      <c r="B714" s="111"/>
      <c r="C714" s="174" t="s">
        <v>179</v>
      </c>
      <c r="D714" s="174" t="s">
        <v>197</v>
      </c>
      <c r="E714" s="200" t="s">
        <v>45</v>
      </c>
      <c r="F714" s="202" t="s">
        <v>216</v>
      </c>
      <c r="G714" s="74">
        <f>G715</f>
        <v>321.5</v>
      </c>
      <c r="Q714" s="44"/>
    </row>
    <row r="715" spans="1:17" s="32" customFormat="1" ht="16.5" customHeight="1">
      <c r="A715" s="144" t="s">
        <v>217</v>
      </c>
      <c r="B715" s="111"/>
      <c r="C715" s="174" t="s">
        <v>179</v>
      </c>
      <c r="D715" s="174" t="s">
        <v>197</v>
      </c>
      <c r="E715" s="200" t="s">
        <v>45</v>
      </c>
      <c r="F715" s="202" t="s">
        <v>215</v>
      </c>
      <c r="G715" s="74">
        <v>321.5</v>
      </c>
      <c r="Q715" s="44"/>
    </row>
    <row r="716" spans="1:17" s="32" customFormat="1" ht="17.25" customHeight="1">
      <c r="A716" s="128" t="s">
        <v>220</v>
      </c>
      <c r="B716" s="111"/>
      <c r="C716" s="174" t="s">
        <v>179</v>
      </c>
      <c r="D716" s="174" t="s">
        <v>197</v>
      </c>
      <c r="E716" s="200" t="s">
        <v>45</v>
      </c>
      <c r="F716" s="202" t="s">
        <v>206</v>
      </c>
      <c r="G716" s="74">
        <f>G717</f>
        <v>30</v>
      </c>
      <c r="Q716" s="44"/>
    </row>
    <row r="717" spans="1:17" s="32" customFormat="1" ht="15.75">
      <c r="A717" s="135" t="s">
        <v>221</v>
      </c>
      <c r="B717" s="111"/>
      <c r="C717" s="174" t="s">
        <v>179</v>
      </c>
      <c r="D717" s="174" t="s">
        <v>197</v>
      </c>
      <c r="E717" s="200" t="s">
        <v>45</v>
      </c>
      <c r="F717" s="202" t="s">
        <v>222</v>
      </c>
      <c r="G717" s="74">
        <v>30</v>
      </c>
      <c r="H717" s="50" t="e">
        <f>H718</f>
        <v>#REF!</v>
      </c>
      <c r="Q717" s="44"/>
    </row>
    <row r="718" spans="1:17" s="32" customFormat="1" ht="15.75">
      <c r="A718" s="144" t="s">
        <v>320</v>
      </c>
      <c r="B718" s="111"/>
      <c r="C718" s="174" t="s">
        <v>179</v>
      </c>
      <c r="D718" s="174" t="s">
        <v>197</v>
      </c>
      <c r="E718" s="200" t="s">
        <v>291</v>
      </c>
      <c r="F718" s="202"/>
      <c r="G718" s="74">
        <f>G719</f>
        <v>90</v>
      </c>
      <c r="H718" s="51" t="e">
        <f>H719</f>
        <v>#REF!</v>
      </c>
      <c r="Q718" s="44"/>
    </row>
    <row r="719" spans="1:17" s="32" customFormat="1" ht="15.75">
      <c r="A719" s="128" t="s">
        <v>220</v>
      </c>
      <c r="B719" s="111"/>
      <c r="C719" s="174" t="s">
        <v>179</v>
      </c>
      <c r="D719" s="174" t="s">
        <v>197</v>
      </c>
      <c r="E719" s="200" t="s">
        <v>291</v>
      </c>
      <c r="F719" s="202" t="s">
        <v>206</v>
      </c>
      <c r="G719" s="74">
        <f>G720</f>
        <v>90</v>
      </c>
      <c r="H719" s="51" t="e">
        <f>#REF!</f>
        <v>#REF!</v>
      </c>
      <c r="Q719" s="44"/>
    </row>
    <row r="720" spans="1:17" s="32" customFormat="1" ht="15.75">
      <c r="A720" s="135" t="s">
        <v>221</v>
      </c>
      <c r="B720" s="111"/>
      <c r="C720" s="174" t="s">
        <v>179</v>
      </c>
      <c r="D720" s="174" t="s">
        <v>197</v>
      </c>
      <c r="E720" s="200" t="s">
        <v>291</v>
      </c>
      <c r="F720" s="202" t="s">
        <v>222</v>
      </c>
      <c r="G720" s="74">
        <v>90</v>
      </c>
      <c r="Q720" s="44"/>
    </row>
    <row r="721" spans="1:17" s="32" customFormat="1" ht="16.5" customHeight="1">
      <c r="A721" s="186" t="s">
        <v>467</v>
      </c>
      <c r="B721" s="111"/>
      <c r="C721" s="174" t="s">
        <v>179</v>
      </c>
      <c r="D721" s="174" t="s">
        <v>197</v>
      </c>
      <c r="E721" s="201" t="s">
        <v>46</v>
      </c>
      <c r="F721" s="203"/>
      <c r="G721" s="78">
        <f>G722+G725+G728+G731+G734+G737+G740+G743+G746+G749</f>
        <v>20022.8</v>
      </c>
      <c r="Q721" s="44"/>
    </row>
    <row r="722" spans="1:17" s="32" customFormat="1" ht="17.25" customHeight="1">
      <c r="A722" s="165" t="s">
        <v>125</v>
      </c>
      <c r="B722" s="111"/>
      <c r="C722" s="174" t="s">
        <v>179</v>
      </c>
      <c r="D722" s="174" t="s">
        <v>197</v>
      </c>
      <c r="E722" s="200" t="s">
        <v>481</v>
      </c>
      <c r="F722" s="202"/>
      <c r="G722" s="74">
        <f>G723</f>
        <v>9864.7</v>
      </c>
      <c r="Q722" s="44"/>
    </row>
    <row r="723" spans="1:17" s="32" customFormat="1" ht="15.75">
      <c r="A723" s="128" t="s">
        <v>220</v>
      </c>
      <c r="B723" s="111"/>
      <c r="C723" s="174" t="s">
        <v>179</v>
      </c>
      <c r="D723" s="174" t="s">
        <v>197</v>
      </c>
      <c r="E723" s="200" t="s">
        <v>481</v>
      </c>
      <c r="F723" s="202" t="s">
        <v>206</v>
      </c>
      <c r="G723" s="74">
        <f>G724</f>
        <v>9864.7</v>
      </c>
      <c r="H723" s="50">
        <f>H724</f>
        <v>0</v>
      </c>
      <c r="Q723" s="44"/>
    </row>
    <row r="724" spans="1:17" s="32" customFormat="1" ht="15.75">
      <c r="A724" s="135" t="s">
        <v>221</v>
      </c>
      <c r="B724" s="111"/>
      <c r="C724" s="174" t="s">
        <v>179</v>
      </c>
      <c r="D724" s="174" t="s">
        <v>197</v>
      </c>
      <c r="E724" s="200" t="s">
        <v>481</v>
      </c>
      <c r="F724" s="202" t="s">
        <v>222</v>
      </c>
      <c r="G724" s="74">
        <f>9764.7+100</f>
        <v>9864.7</v>
      </c>
      <c r="H724" s="51">
        <f>H725</f>
        <v>0</v>
      </c>
      <c r="Q724" s="44"/>
    </row>
    <row r="725" spans="1:17" s="32" customFormat="1" ht="15.75">
      <c r="A725" s="144" t="s">
        <v>253</v>
      </c>
      <c r="B725" s="111"/>
      <c r="C725" s="174" t="s">
        <v>179</v>
      </c>
      <c r="D725" s="174" t="s">
        <v>197</v>
      </c>
      <c r="E725" s="200" t="s">
        <v>482</v>
      </c>
      <c r="F725" s="202"/>
      <c r="G725" s="74">
        <f>G726</f>
        <v>69.3</v>
      </c>
      <c r="H725" s="51">
        <f>H726</f>
        <v>0</v>
      </c>
      <c r="Q725" s="44"/>
    </row>
    <row r="726" spans="1:17" s="32" customFormat="1" ht="15.75">
      <c r="A726" s="128" t="s">
        <v>220</v>
      </c>
      <c r="B726" s="111"/>
      <c r="C726" s="174" t="s">
        <v>179</v>
      </c>
      <c r="D726" s="174" t="s">
        <v>197</v>
      </c>
      <c r="E726" s="200" t="s">
        <v>482</v>
      </c>
      <c r="F726" s="202" t="s">
        <v>206</v>
      </c>
      <c r="G726" s="74">
        <f>G727</f>
        <v>69.3</v>
      </c>
      <c r="H726" s="51">
        <v>0</v>
      </c>
      <c r="Q726" s="44"/>
    </row>
    <row r="727" spans="1:17" s="32" customFormat="1" ht="15.75">
      <c r="A727" s="135" t="s">
        <v>221</v>
      </c>
      <c r="B727" s="111"/>
      <c r="C727" s="174" t="s">
        <v>179</v>
      </c>
      <c r="D727" s="174" t="s">
        <v>197</v>
      </c>
      <c r="E727" s="200" t="s">
        <v>482</v>
      </c>
      <c r="F727" s="202" t="s">
        <v>222</v>
      </c>
      <c r="G727" s="74">
        <v>69.3</v>
      </c>
      <c r="H727" s="51">
        <f>H728</f>
        <v>0</v>
      </c>
      <c r="Q727" s="44"/>
    </row>
    <row r="728" spans="1:17" s="32" customFormat="1" ht="15.75">
      <c r="A728" s="135" t="s">
        <v>8</v>
      </c>
      <c r="B728" s="111"/>
      <c r="C728" s="174" t="s">
        <v>179</v>
      </c>
      <c r="D728" s="174" t="s">
        <v>197</v>
      </c>
      <c r="E728" s="200" t="s">
        <v>615</v>
      </c>
      <c r="F728" s="202"/>
      <c r="G728" s="74">
        <f>G729</f>
        <v>1096.4</v>
      </c>
      <c r="H728" s="51">
        <f>H738</f>
        <v>0</v>
      </c>
      <c r="Q728" s="44"/>
    </row>
    <row r="729" spans="1:17" s="32" customFormat="1" ht="15.75">
      <c r="A729" s="128" t="s">
        <v>220</v>
      </c>
      <c r="B729" s="111"/>
      <c r="C729" s="174" t="s">
        <v>179</v>
      </c>
      <c r="D729" s="174" t="s">
        <v>197</v>
      </c>
      <c r="E729" s="200" t="s">
        <v>615</v>
      </c>
      <c r="F729" s="202" t="s">
        <v>356</v>
      </c>
      <c r="G729" s="74">
        <f>G730</f>
        <v>1096.4</v>
      </c>
      <c r="H729" s="51">
        <v>0</v>
      </c>
      <c r="Q729" s="44"/>
    </row>
    <row r="730" spans="1:17" s="32" customFormat="1" ht="15.75">
      <c r="A730" s="135" t="s">
        <v>221</v>
      </c>
      <c r="B730" s="111"/>
      <c r="C730" s="174" t="s">
        <v>179</v>
      </c>
      <c r="D730" s="174" t="s">
        <v>197</v>
      </c>
      <c r="E730" s="200" t="s">
        <v>615</v>
      </c>
      <c r="F730" s="202" t="s">
        <v>222</v>
      </c>
      <c r="G730" s="74">
        <v>1096.4</v>
      </c>
      <c r="Q730" s="44"/>
    </row>
    <row r="731" spans="1:17" s="32" customFormat="1" ht="15.75">
      <c r="A731" s="135" t="s">
        <v>368</v>
      </c>
      <c r="B731" s="111"/>
      <c r="C731" s="174" t="s">
        <v>179</v>
      </c>
      <c r="D731" s="174" t="s">
        <v>197</v>
      </c>
      <c r="E731" s="200" t="s">
        <v>645</v>
      </c>
      <c r="F731" s="202"/>
      <c r="G731" s="74">
        <f>G732</f>
        <v>1477</v>
      </c>
      <c r="Q731" s="44"/>
    </row>
    <row r="732" spans="1:17" s="32" customFormat="1" ht="16.5" customHeight="1">
      <c r="A732" s="128" t="s">
        <v>220</v>
      </c>
      <c r="B732" s="111"/>
      <c r="C732" s="174" t="s">
        <v>179</v>
      </c>
      <c r="D732" s="174" t="s">
        <v>197</v>
      </c>
      <c r="E732" s="200" t="s">
        <v>645</v>
      </c>
      <c r="F732" s="202" t="s">
        <v>356</v>
      </c>
      <c r="G732" s="74">
        <f>G733</f>
        <v>1477</v>
      </c>
      <c r="Q732" s="44"/>
    </row>
    <row r="733" spans="1:7" ht="15.75">
      <c r="A733" s="135" t="s">
        <v>221</v>
      </c>
      <c r="B733" s="111"/>
      <c r="C733" s="174" t="s">
        <v>179</v>
      </c>
      <c r="D733" s="174" t="s">
        <v>197</v>
      </c>
      <c r="E733" s="200" t="s">
        <v>645</v>
      </c>
      <c r="F733" s="202" t="s">
        <v>222</v>
      </c>
      <c r="G733" s="74">
        <v>1477</v>
      </c>
    </row>
    <row r="734" spans="1:17" s="13" customFormat="1" ht="15.75">
      <c r="A734" s="130" t="s">
        <v>324</v>
      </c>
      <c r="B734" s="111"/>
      <c r="C734" s="174" t="s">
        <v>179</v>
      </c>
      <c r="D734" s="174" t="s">
        <v>197</v>
      </c>
      <c r="E734" s="200" t="s">
        <v>483</v>
      </c>
      <c r="F734" s="202"/>
      <c r="G734" s="74">
        <f>G735</f>
        <v>20</v>
      </c>
      <c r="H734" s="28"/>
      <c r="Q734" s="69"/>
    </row>
    <row r="735" spans="1:17" s="13" customFormat="1" ht="15.75">
      <c r="A735" s="128" t="s">
        <v>220</v>
      </c>
      <c r="B735" s="111"/>
      <c r="C735" s="174" t="s">
        <v>179</v>
      </c>
      <c r="D735" s="174" t="s">
        <v>197</v>
      </c>
      <c r="E735" s="200" t="s">
        <v>483</v>
      </c>
      <c r="F735" s="202" t="s">
        <v>356</v>
      </c>
      <c r="G735" s="74">
        <f>G736</f>
        <v>20</v>
      </c>
      <c r="Q735" s="69"/>
    </row>
    <row r="736" spans="1:17" s="13" customFormat="1" ht="15.75">
      <c r="A736" s="135" t="s">
        <v>221</v>
      </c>
      <c r="B736" s="111"/>
      <c r="C736" s="174" t="s">
        <v>179</v>
      </c>
      <c r="D736" s="174" t="s">
        <v>197</v>
      </c>
      <c r="E736" s="200" t="s">
        <v>483</v>
      </c>
      <c r="F736" s="202" t="s">
        <v>222</v>
      </c>
      <c r="G736" s="74">
        <v>20</v>
      </c>
      <c r="Q736" s="69"/>
    </row>
    <row r="737" spans="1:17" s="13" customFormat="1" ht="15.75">
      <c r="A737" s="144" t="s">
        <v>325</v>
      </c>
      <c r="B737" s="111"/>
      <c r="C737" s="174" t="s">
        <v>179</v>
      </c>
      <c r="D737" s="174" t="s">
        <v>197</v>
      </c>
      <c r="E737" s="200" t="s">
        <v>484</v>
      </c>
      <c r="F737" s="202"/>
      <c r="G737" s="74">
        <f>G738</f>
        <v>162.8</v>
      </c>
      <c r="Q737" s="69"/>
    </row>
    <row r="738" spans="1:17" s="13" customFormat="1" ht="15.75">
      <c r="A738" s="128" t="s">
        <v>220</v>
      </c>
      <c r="B738" s="111"/>
      <c r="C738" s="174" t="s">
        <v>179</v>
      </c>
      <c r="D738" s="174" t="s">
        <v>197</v>
      </c>
      <c r="E738" s="200" t="s">
        <v>484</v>
      </c>
      <c r="F738" s="202" t="s">
        <v>356</v>
      </c>
      <c r="G738" s="74">
        <f>G739</f>
        <v>162.8</v>
      </c>
      <c r="Q738" s="69"/>
    </row>
    <row r="739" spans="1:17" s="13" customFormat="1" ht="15.75">
      <c r="A739" s="135" t="s">
        <v>221</v>
      </c>
      <c r="B739" s="111"/>
      <c r="C739" s="174" t="s">
        <v>179</v>
      </c>
      <c r="D739" s="174" t="s">
        <v>197</v>
      </c>
      <c r="E739" s="200" t="s">
        <v>484</v>
      </c>
      <c r="F739" s="202" t="s">
        <v>222</v>
      </c>
      <c r="G739" s="74">
        <f>235-72.2</f>
        <v>162.8</v>
      </c>
      <c r="Q739" s="69"/>
    </row>
    <row r="740" spans="1:17" s="13" customFormat="1" ht="15.75">
      <c r="A740" s="187" t="s">
        <v>326</v>
      </c>
      <c r="B740" s="111"/>
      <c r="C740" s="174" t="s">
        <v>179</v>
      </c>
      <c r="D740" s="174" t="s">
        <v>197</v>
      </c>
      <c r="E740" s="202" t="s">
        <v>571</v>
      </c>
      <c r="F740" s="202"/>
      <c r="G740" s="74">
        <f>G741</f>
        <v>1100.7</v>
      </c>
      <c r="Q740" s="69"/>
    </row>
    <row r="741" spans="1:17" s="13" customFormat="1" ht="15.75">
      <c r="A741" s="187" t="s">
        <v>220</v>
      </c>
      <c r="B741" s="111"/>
      <c r="C741" s="174" t="s">
        <v>179</v>
      </c>
      <c r="D741" s="174" t="s">
        <v>197</v>
      </c>
      <c r="E741" s="202" t="s">
        <v>571</v>
      </c>
      <c r="F741" s="202" t="s">
        <v>206</v>
      </c>
      <c r="G741" s="74">
        <f>G742</f>
        <v>1100.7</v>
      </c>
      <c r="Q741" s="69"/>
    </row>
    <row r="742" spans="1:17" s="13" customFormat="1" ht="15.75">
      <c r="A742" s="187" t="s">
        <v>221</v>
      </c>
      <c r="B742" s="111"/>
      <c r="C742" s="174" t="s">
        <v>179</v>
      </c>
      <c r="D742" s="174" t="s">
        <v>197</v>
      </c>
      <c r="E742" s="202" t="s">
        <v>571</v>
      </c>
      <c r="F742" s="202" t="s">
        <v>222</v>
      </c>
      <c r="G742" s="74">
        <v>1100.7</v>
      </c>
      <c r="Q742" s="69"/>
    </row>
    <row r="743" spans="1:17" s="13" customFormat="1" ht="15" customHeight="1">
      <c r="A743" s="108" t="s">
        <v>327</v>
      </c>
      <c r="B743" s="111"/>
      <c r="C743" s="174" t="s">
        <v>179</v>
      </c>
      <c r="D743" s="174" t="s">
        <v>197</v>
      </c>
      <c r="E743" s="200" t="s">
        <v>485</v>
      </c>
      <c r="F743" s="202"/>
      <c r="G743" s="74">
        <f>G744</f>
        <v>909.2</v>
      </c>
      <c r="Q743" s="69"/>
    </row>
    <row r="744" spans="1:17" s="13" customFormat="1" ht="15.75">
      <c r="A744" s="128" t="s">
        <v>220</v>
      </c>
      <c r="B744" s="111"/>
      <c r="C744" s="174" t="s">
        <v>179</v>
      </c>
      <c r="D744" s="174" t="s">
        <v>197</v>
      </c>
      <c r="E744" s="200" t="s">
        <v>485</v>
      </c>
      <c r="F744" s="202" t="s">
        <v>356</v>
      </c>
      <c r="G744" s="74">
        <f>G745</f>
        <v>909.2</v>
      </c>
      <c r="Q744" s="69"/>
    </row>
    <row r="745" spans="1:17" s="13" customFormat="1" ht="15.75">
      <c r="A745" s="135" t="s">
        <v>221</v>
      </c>
      <c r="B745" s="111"/>
      <c r="C745" s="174" t="s">
        <v>179</v>
      </c>
      <c r="D745" s="174" t="s">
        <v>197</v>
      </c>
      <c r="E745" s="200" t="s">
        <v>485</v>
      </c>
      <c r="F745" s="202" t="s">
        <v>222</v>
      </c>
      <c r="G745" s="74">
        <v>909.2</v>
      </c>
      <c r="Q745" s="69"/>
    </row>
    <row r="746" spans="1:17" s="13" customFormat="1" ht="15.75">
      <c r="A746" s="172" t="s">
        <v>379</v>
      </c>
      <c r="B746" s="111"/>
      <c r="C746" s="174" t="s">
        <v>179</v>
      </c>
      <c r="D746" s="174" t="s">
        <v>197</v>
      </c>
      <c r="E746" s="200" t="s">
        <v>486</v>
      </c>
      <c r="F746" s="202"/>
      <c r="G746" s="74">
        <f>G747</f>
        <v>5063.7</v>
      </c>
      <c r="Q746" s="69"/>
    </row>
    <row r="747" spans="1:17" s="13" customFormat="1" ht="15.75">
      <c r="A747" s="128" t="s">
        <v>220</v>
      </c>
      <c r="B747" s="111"/>
      <c r="C747" s="174" t="s">
        <v>179</v>
      </c>
      <c r="D747" s="174" t="s">
        <v>197</v>
      </c>
      <c r="E747" s="200" t="s">
        <v>486</v>
      </c>
      <c r="F747" s="202" t="s">
        <v>206</v>
      </c>
      <c r="G747" s="74">
        <f>G748</f>
        <v>5063.7</v>
      </c>
      <c r="Q747" s="69"/>
    </row>
    <row r="748" spans="1:17" s="13" customFormat="1" ht="15.75">
      <c r="A748" s="135" t="s">
        <v>221</v>
      </c>
      <c r="B748" s="111"/>
      <c r="C748" s="174" t="s">
        <v>179</v>
      </c>
      <c r="D748" s="174" t="s">
        <v>197</v>
      </c>
      <c r="E748" s="200" t="s">
        <v>486</v>
      </c>
      <c r="F748" s="202" t="s">
        <v>222</v>
      </c>
      <c r="G748" s="74">
        <v>5063.7</v>
      </c>
      <c r="Q748" s="69"/>
    </row>
    <row r="749" spans="1:17" s="13" customFormat="1" ht="26.25">
      <c r="A749" s="188" t="s">
        <v>573</v>
      </c>
      <c r="B749" s="111"/>
      <c r="C749" s="174" t="s">
        <v>179</v>
      </c>
      <c r="D749" s="174" t="s">
        <v>197</v>
      </c>
      <c r="E749" s="202" t="s">
        <v>572</v>
      </c>
      <c r="F749" s="202"/>
      <c r="G749" s="74">
        <f>G750</f>
        <v>259</v>
      </c>
      <c r="Q749" s="69"/>
    </row>
    <row r="750" spans="1:17" s="13" customFormat="1" ht="15.75">
      <c r="A750" s="128" t="s">
        <v>220</v>
      </c>
      <c r="B750" s="111"/>
      <c r="C750" s="174" t="s">
        <v>179</v>
      </c>
      <c r="D750" s="174" t="s">
        <v>197</v>
      </c>
      <c r="E750" s="202" t="s">
        <v>572</v>
      </c>
      <c r="F750" s="202" t="s">
        <v>206</v>
      </c>
      <c r="G750" s="74">
        <f>G751</f>
        <v>259</v>
      </c>
      <c r="Q750" s="69"/>
    </row>
    <row r="751" spans="1:17" s="13" customFormat="1" ht="15.75">
      <c r="A751" s="135" t="s">
        <v>221</v>
      </c>
      <c r="B751" s="111"/>
      <c r="C751" s="174" t="s">
        <v>179</v>
      </c>
      <c r="D751" s="174" t="s">
        <v>197</v>
      </c>
      <c r="E751" s="202" t="s">
        <v>572</v>
      </c>
      <c r="F751" s="202" t="s">
        <v>222</v>
      </c>
      <c r="G751" s="74">
        <v>259</v>
      </c>
      <c r="Q751" s="69"/>
    </row>
    <row r="752" spans="1:17" s="13" customFormat="1" ht="15.75">
      <c r="A752" s="139" t="s">
        <v>532</v>
      </c>
      <c r="B752" s="140" t="s">
        <v>531</v>
      </c>
      <c r="C752" s="222"/>
      <c r="D752" s="222"/>
      <c r="E752" s="223"/>
      <c r="F752" s="222"/>
      <c r="G752" s="78">
        <f>G753+G766</f>
        <v>4174.9</v>
      </c>
      <c r="Q752" s="69"/>
    </row>
    <row r="753" spans="1:17" s="13" customFormat="1" ht="15.75">
      <c r="A753" s="106" t="s">
        <v>154</v>
      </c>
      <c r="B753" s="107"/>
      <c r="C753" s="173" t="s">
        <v>180</v>
      </c>
      <c r="D753" s="174"/>
      <c r="E753" s="200" t="s">
        <v>201</v>
      </c>
      <c r="F753" s="174"/>
      <c r="G753" s="78">
        <f>G754+G761</f>
        <v>4122.9</v>
      </c>
      <c r="Q753" s="69"/>
    </row>
    <row r="754" spans="1:17" s="13" customFormat="1" ht="25.5">
      <c r="A754" s="125" t="s">
        <v>238</v>
      </c>
      <c r="B754" s="137"/>
      <c r="C754" s="173" t="s">
        <v>180</v>
      </c>
      <c r="D754" s="173" t="s">
        <v>196</v>
      </c>
      <c r="E754" s="201" t="s">
        <v>201</v>
      </c>
      <c r="F754" s="224"/>
      <c r="G754" s="98">
        <f>G756</f>
        <v>4062.9</v>
      </c>
      <c r="Q754" s="69"/>
    </row>
    <row r="755" spans="1:17" s="13" customFormat="1" ht="15.75">
      <c r="A755" s="189" t="s">
        <v>424</v>
      </c>
      <c r="B755" s="107"/>
      <c r="C755" s="173" t="s">
        <v>180</v>
      </c>
      <c r="D755" s="173" t="s">
        <v>196</v>
      </c>
      <c r="E755" s="201" t="s">
        <v>455</v>
      </c>
      <c r="F755" s="202"/>
      <c r="G755" s="74">
        <f>G756</f>
        <v>4062.9</v>
      </c>
      <c r="Q755" s="69"/>
    </row>
    <row r="756" spans="1:17" s="13" customFormat="1" ht="15.75">
      <c r="A756" s="110" t="s">
        <v>144</v>
      </c>
      <c r="B756" s="107"/>
      <c r="C756" s="174" t="s">
        <v>180</v>
      </c>
      <c r="D756" s="174" t="s">
        <v>196</v>
      </c>
      <c r="E756" s="200" t="s">
        <v>536</v>
      </c>
      <c r="F756" s="202"/>
      <c r="G756" s="74">
        <f>G757+G759</f>
        <v>4062.9</v>
      </c>
      <c r="Q756" s="69"/>
    </row>
    <row r="757" spans="1:17" s="13" customFormat="1" ht="25.5">
      <c r="A757" s="110" t="s">
        <v>139</v>
      </c>
      <c r="B757" s="107"/>
      <c r="C757" s="174" t="s">
        <v>180</v>
      </c>
      <c r="D757" s="174" t="s">
        <v>196</v>
      </c>
      <c r="E757" s="200" t="s">
        <v>536</v>
      </c>
      <c r="F757" s="202" t="s">
        <v>228</v>
      </c>
      <c r="G757" s="74">
        <f>G758</f>
        <v>3463.33142</v>
      </c>
      <c r="Q757" s="69"/>
    </row>
    <row r="758" spans="1:17" s="13" customFormat="1" ht="15.75">
      <c r="A758" s="110" t="s">
        <v>223</v>
      </c>
      <c r="B758" s="113"/>
      <c r="C758" s="174" t="s">
        <v>180</v>
      </c>
      <c r="D758" s="174" t="s">
        <v>196</v>
      </c>
      <c r="E758" s="200" t="s">
        <v>536</v>
      </c>
      <c r="F758" s="202" t="s">
        <v>224</v>
      </c>
      <c r="G758" s="74">
        <f>3677.9-155.54728-12.0213-47</f>
        <v>3463.33142</v>
      </c>
      <c r="Q758" s="69"/>
    </row>
    <row r="759" spans="1:17" s="13" customFormat="1" ht="15.75">
      <c r="A759" s="110" t="s">
        <v>264</v>
      </c>
      <c r="B759" s="113"/>
      <c r="C759" s="174" t="s">
        <v>180</v>
      </c>
      <c r="D759" s="174" t="s">
        <v>196</v>
      </c>
      <c r="E759" s="200" t="s">
        <v>536</v>
      </c>
      <c r="F759" s="202" t="s">
        <v>216</v>
      </c>
      <c r="G759" s="74">
        <f>G760</f>
        <v>599.56858</v>
      </c>
      <c r="Q759" s="69"/>
    </row>
    <row r="760" spans="1:17" s="13" customFormat="1" ht="15.75">
      <c r="A760" s="110" t="s">
        <v>217</v>
      </c>
      <c r="B760" s="113"/>
      <c r="C760" s="174" t="s">
        <v>180</v>
      </c>
      <c r="D760" s="174" t="s">
        <v>196</v>
      </c>
      <c r="E760" s="200" t="s">
        <v>536</v>
      </c>
      <c r="F760" s="202" t="s">
        <v>215</v>
      </c>
      <c r="G760" s="74">
        <f>385+214.56858</f>
        <v>599.56858</v>
      </c>
      <c r="Q760" s="69"/>
    </row>
    <row r="761" spans="1:17" s="13" customFormat="1" ht="15.75">
      <c r="A761" s="125" t="s">
        <v>165</v>
      </c>
      <c r="B761" s="127"/>
      <c r="C761" s="153" t="s">
        <v>180</v>
      </c>
      <c r="D761" s="153" t="s">
        <v>146</v>
      </c>
      <c r="E761" s="201"/>
      <c r="F761" s="211"/>
      <c r="G761" s="78">
        <f>G762</f>
        <v>60</v>
      </c>
      <c r="Q761" s="69"/>
    </row>
    <row r="762" spans="1:17" s="13" customFormat="1" ht="15.75">
      <c r="A762" s="126" t="s">
        <v>424</v>
      </c>
      <c r="B762" s="127"/>
      <c r="C762" s="153" t="s">
        <v>180</v>
      </c>
      <c r="D762" s="153" t="s">
        <v>146</v>
      </c>
      <c r="E762" s="201" t="s">
        <v>455</v>
      </c>
      <c r="F762" s="211"/>
      <c r="G762" s="78">
        <f>G763</f>
        <v>60</v>
      </c>
      <c r="Q762" s="69"/>
    </row>
    <row r="763" spans="1:17" s="13" customFormat="1" ht="15.75">
      <c r="A763" s="112" t="s">
        <v>111</v>
      </c>
      <c r="B763" s="113"/>
      <c r="C763" s="152" t="s">
        <v>180</v>
      </c>
      <c r="D763" s="152" t="s">
        <v>146</v>
      </c>
      <c r="E763" s="210" t="s">
        <v>456</v>
      </c>
      <c r="F763" s="208"/>
      <c r="G763" s="74">
        <f>G764</f>
        <v>60</v>
      </c>
      <c r="Q763" s="69"/>
    </row>
    <row r="764" spans="1:17" s="13" customFormat="1" ht="15.75">
      <c r="A764" s="110" t="s">
        <v>264</v>
      </c>
      <c r="B764" s="111"/>
      <c r="C764" s="152" t="s">
        <v>180</v>
      </c>
      <c r="D764" s="152" t="s">
        <v>146</v>
      </c>
      <c r="E764" s="210" t="s">
        <v>456</v>
      </c>
      <c r="F764" s="208" t="s">
        <v>216</v>
      </c>
      <c r="G764" s="74">
        <f>G765</f>
        <v>60</v>
      </c>
      <c r="Q764" s="69"/>
    </row>
    <row r="765" spans="1:17" s="13" customFormat="1" ht="15.75">
      <c r="A765" s="110" t="s">
        <v>217</v>
      </c>
      <c r="B765" s="113"/>
      <c r="C765" s="152" t="s">
        <v>180</v>
      </c>
      <c r="D765" s="152" t="s">
        <v>146</v>
      </c>
      <c r="E765" s="210" t="s">
        <v>456</v>
      </c>
      <c r="F765" s="208" t="s">
        <v>215</v>
      </c>
      <c r="G765" s="74">
        <v>60</v>
      </c>
      <c r="Q765" s="69"/>
    </row>
    <row r="766" spans="1:17" s="13" customFormat="1" ht="15.75">
      <c r="A766" s="106" t="s">
        <v>178</v>
      </c>
      <c r="B766" s="107"/>
      <c r="C766" s="173" t="s">
        <v>150</v>
      </c>
      <c r="D766" s="174"/>
      <c r="E766" s="200" t="s">
        <v>201</v>
      </c>
      <c r="F766" s="174"/>
      <c r="G766" s="78">
        <f>G767</f>
        <v>52</v>
      </c>
      <c r="Q766" s="69"/>
    </row>
    <row r="767" spans="1:17" s="13" customFormat="1" ht="15.75">
      <c r="A767" s="125" t="s">
        <v>423</v>
      </c>
      <c r="B767" s="137"/>
      <c r="C767" s="173" t="s">
        <v>150</v>
      </c>
      <c r="D767" s="173" t="s">
        <v>153</v>
      </c>
      <c r="E767" s="201" t="s">
        <v>201</v>
      </c>
      <c r="F767" s="224"/>
      <c r="G767" s="98">
        <f>G768</f>
        <v>52</v>
      </c>
      <c r="Q767" s="69"/>
    </row>
    <row r="768" spans="1:17" s="13" customFormat="1" ht="19.5" customHeight="1">
      <c r="A768" s="125" t="s">
        <v>424</v>
      </c>
      <c r="B768" s="137"/>
      <c r="C768" s="173" t="s">
        <v>150</v>
      </c>
      <c r="D768" s="173" t="s">
        <v>153</v>
      </c>
      <c r="E768" s="201" t="s">
        <v>455</v>
      </c>
      <c r="F768" s="224"/>
      <c r="G768" s="98">
        <f>G769</f>
        <v>52</v>
      </c>
      <c r="Q768" s="69"/>
    </row>
    <row r="769" spans="1:17" s="13" customFormat="1" ht="15.75">
      <c r="A769" s="112" t="s">
        <v>427</v>
      </c>
      <c r="B769" s="137"/>
      <c r="C769" s="174" t="s">
        <v>150</v>
      </c>
      <c r="D769" s="174" t="s">
        <v>153</v>
      </c>
      <c r="E769" s="200" t="s">
        <v>426</v>
      </c>
      <c r="F769" s="225"/>
      <c r="G769" s="99">
        <f>G770</f>
        <v>52</v>
      </c>
      <c r="Q769" s="69"/>
    </row>
    <row r="770" spans="1:17" s="13" customFormat="1" ht="15.75">
      <c r="A770" s="128" t="s">
        <v>102</v>
      </c>
      <c r="B770" s="137"/>
      <c r="C770" s="174" t="s">
        <v>150</v>
      </c>
      <c r="D770" s="174" t="s">
        <v>153</v>
      </c>
      <c r="E770" s="200" t="s">
        <v>426</v>
      </c>
      <c r="F770" s="202" t="s">
        <v>98</v>
      </c>
      <c r="G770" s="99">
        <f>G771</f>
        <v>52</v>
      </c>
      <c r="Q770" s="69"/>
    </row>
    <row r="771" spans="1:17" s="13" customFormat="1" ht="19.5" customHeight="1">
      <c r="A771" s="112" t="s">
        <v>97</v>
      </c>
      <c r="B771" s="137"/>
      <c r="C771" s="174" t="s">
        <v>150</v>
      </c>
      <c r="D771" s="174" t="s">
        <v>153</v>
      </c>
      <c r="E771" s="200" t="s">
        <v>426</v>
      </c>
      <c r="F771" s="202" t="s">
        <v>99</v>
      </c>
      <c r="G771" s="74">
        <v>52</v>
      </c>
      <c r="Q771" s="69"/>
    </row>
    <row r="772" spans="1:17" s="13" customFormat="1" ht="26.25">
      <c r="A772" s="139" t="s">
        <v>418</v>
      </c>
      <c r="B772" s="140" t="s">
        <v>212</v>
      </c>
      <c r="C772" s="222"/>
      <c r="D772" s="222"/>
      <c r="E772" s="223"/>
      <c r="F772" s="222"/>
      <c r="G772" s="78">
        <f>G773+G796+G812+G828</f>
        <v>26533.472</v>
      </c>
      <c r="Q772" s="69"/>
    </row>
    <row r="773" spans="1:17" s="13" customFormat="1" ht="15.75">
      <c r="A773" s="106" t="s">
        <v>154</v>
      </c>
      <c r="B773" s="107"/>
      <c r="C773" s="173" t="s">
        <v>180</v>
      </c>
      <c r="D773" s="174"/>
      <c r="E773" s="200" t="s">
        <v>201</v>
      </c>
      <c r="F773" s="174"/>
      <c r="G773" s="78">
        <f>G774</f>
        <v>16444.915</v>
      </c>
      <c r="Q773" s="69"/>
    </row>
    <row r="774" spans="1:17" s="13" customFormat="1" ht="15.75">
      <c r="A774" s="125" t="s">
        <v>165</v>
      </c>
      <c r="B774" s="137"/>
      <c r="C774" s="173" t="s">
        <v>180</v>
      </c>
      <c r="D774" s="173" t="s">
        <v>146</v>
      </c>
      <c r="E774" s="201" t="s">
        <v>201</v>
      </c>
      <c r="F774" s="224"/>
      <c r="G774" s="98">
        <f>G775</f>
        <v>16444.915</v>
      </c>
      <c r="Q774" s="69"/>
    </row>
    <row r="775" spans="1:17" s="13" customFormat="1" ht="15.75">
      <c r="A775" s="125" t="s">
        <v>496</v>
      </c>
      <c r="B775" s="137"/>
      <c r="C775" s="173" t="s">
        <v>180</v>
      </c>
      <c r="D775" s="173" t="s">
        <v>146</v>
      </c>
      <c r="E775" s="201" t="s">
        <v>22</v>
      </c>
      <c r="F775" s="224"/>
      <c r="G775" s="98">
        <f>G776+G790+G781+G787+G793</f>
        <v>16444.915</v>
      </c>
      <c r="Q775" s="69"/>
    </row>
    <row r="776" spans="1:17" s="13" customFormat="1" ht="15.75">
      <c r="A776" s="112" t="s">
        <v>138</v>
      </c>
      <c r="B776" s="137"/>
      <c r="C776" s="174" t="s">
        <v>180</v>
      </c>
      <c r="D776" s="174" t="s">
        <v>146</v>
      </c>
      <c r="E776" s="200" t="s">
        <v>79</v>
      </c>
      <c r="F776" s="225"/>
      <c r="G776" s="99">
        <f>G777+G779</f>
        <v>10907.8</v>
      </c>
      <c r="Q776" s="69"/>
    </row>
    <row r="777" spans="1:17" s="13" customFormat="1" ht="25.5">
      <c r="A777" s="110" t="s">
        <v>139</v>
      </c>
      <c r="B777" s="137"/>
      <c r="C777" s="174" t="s">
        <v>180</v>
      </c>
      <c r="D777" s="174" t="s">
        <v>146</v>
      </c>
      <c r="E777" s="200" t="s">
        <v>79</v>
      </c>
      <c r="F777" s="202" t="s">
        <v>228</v>
      </c>
      <c r="G777" s="99">
        <f>G778</f>
        <v>10183.8</v>
      </c>
      <c r="Q777" s="69"/>
    </row>
    <row r="778" spans="1:17" s="13" customFormat="1" ht="15.75">
      <c r="A778" s="171" t="s">
        <v>223</v>
      </c>
      <c r="B778" s="137"/>
      <c r="C778" s="174" t="s">
        <v>180</v>
      </c>
      <c r="D778" s="174" t="s">
        <v>146</v>
      </c>
      <c r="E778" s="200" t="s">
        <v>79</v>
      </c>
      <c r="F778" s="202" t="s">
        <v>224</v>
      </c>
      <c r="G778" s="74">
        <v>10183.8</v>
      </c>
      <c r="Q778" s="69"/>
    </row>
    <row r="779" spans="1:17" s="13" customFormat="1" ht="15.75">
      <c r="A779" s="110" t="s">
        <v>264</v>
      </c>
      <c r="B779" s="113"/>
      <c r="C779" s="174" t="s">
        <v>180</v>
      </c>
      <c r="D779" s="174" t="s">
        <v>146</v>
      </c>
      <c r="E779" s="200" t="s">
        <v>79</v>
      </c>
      <c r="F779" s="202" t="s">
        <v>216</v>
      </c>
      <c r="G779" s="74">
        <f>G780</f>
        <v>724</v>
      </c>
      <c r="Q779" s="69"/>
    </row>
    <row r="780" spans="1:17" s="13" customFormat="1" ht="15.75">
      <c r="A780" s="136" t="s">
        <v>217</v>
      </c>
      <c r="B780" s="113"/>
      <c r="C780" s="174" t="s">
        <v>180</v>
      </c>
      <c r="D780" s="174" t="s">
        <v>146</v>
      </c>
      <c r="E780" s="200" t="s">
        <v>79</v>
      </c>
      <c r="F780" s="202" t="s">
        <v>215</v>
      </c>
      <c r="G780" s="74">
        <v>724</v>
      </c>
      <c r="Q780" s="69"/>
    </row>
    <row r="781" spans="1:17" s="13" customFormat="1" ht="15.75">
      <c r="A781" s="112" t="s">
        <v>109</v>
      </c>
      <c r="B781" s="137"/>
      <c r="C781" s="174" t="s">
        <v>180</v>
      </c>
      <c r="D781" s="174" t="s">
        <v>146</v>
      </c>
      <c r="E781" s="200" t="s">
        <v>256</v>
      </c>
      <c r="F781" s="225"/>
      <c r="G781" s="99">
        <f>G782+G784</f>
        <v>2419.115</v>
      </c>
      <c r="Q781" s="69"/>
    </row>
    <row r="782" spans="1:17" s="13" customFormat="1" ht="15.75">
      <c r="A782" s="110" t="s">
        <v>264</v>
      </c>
      <c r="B782" s="113"/>
      <c r="C782" s="174" t="s">
        <v>180</v>
      </c>
      <c r="D782" s="174" t="s">
        <v>146</v>
      </c>
      <c r="E782" s="200" t="s">
        <v>256</v>
      </c>
      <c r="F782" s="202" t="s">
        <v>216</v>
      </c>
      <c r="G782" s="74">
        <f>G783</f>
        <v>2399.7</v>
      </c>
      <c r="Q782" s="69"/>
    </row>
    <row r="783" spans="1:17" s="13" customFormat="1" ht="15.75">
      <c r="A783" s="136" t="s">
        <v>217</v>
      </c>
      <c r="B783" s="113"/>
      <c r="C783" s="174" t="s">
        <v>180</v>
      </c>
      <c r="D783" s="237" t="s">
        <v>146</v>
      </c>
      <c r="E783" s="238" t="s">
        <v>256</v>
      </c>
      <c r="F783" s="239" t="s">
        <v>215</v>
      </c>
      <c r="G783" s="101">
        <v>2399.7</v>
      </c>
      <c r="Q783" s="69"/>
    </row>
    <row r="784" spans="1:17" s="13" customFormat="1" ht="15.75">
      <c r="A784" s="110" t="s">
        <v>107</v>
      </c>
      <c r="B784" s="113"/>
      <c r="C784" s="174" t="s">
        <v>180</v>
      </c>
      <c r="D784" s="174" t="s">
        <v>146</v>
      </c>
      <c r="E784" s="200" t="s">
        <v>256</v>
      </c>
      <c r="F784" s="202" t="s">
        <v>100</v>
      </c>
      <c r="G784" s="74">
        <f>G786+G785</f>
        <v>19.415</v>
      </c>
      <c r="Q784" s="69"/>
    </row>
    <row r="785" spans="1:17" s="13" customFormat="1" ht="15.75">
      <c r="A785" s="110" t="s">
        <v>351</v>
      </c>
      <c r="B785" s="113"/>
      <c r="C785" s="174" t="s">
        <v>180</v>
      </c>
      <c r="D785" s="237" t="s">
        <v>146</v>
      </c>
      <c r="E785" s="238" t="s">
        <v>256</v>
      </c>
      <c r="F785" s="239" t="s">
        <v>607</v>
      </c>
      <c r="G785" s="101">
        <v>7.7</v>
      </c>
      <c r="Q785" s="69"/>
    </row>
    <row r="786" spans="1:17" s="13" customFormat="1" ht="15.75">
      <c r="A786" s="110" t="s">
        <v>242</v>
      </c>
      <c r="B786" s="113"/>
      <c r="C786" s="174" t="s">
        <v>180</v>
      </c>
      <c r="D786" s="237" t="s">
        <v>146</v>
      </c>
      <c r="E786" s="238" t="s">
        <v>256</v>
      </c>
      <c r="F786" s="239" t="s">
        <v>243</v>
      </c>
      <c r="G786" s="101">
        <v>11.715</v>
      </c>
      <c r="Q786" s="69"/>
    </row>
    <row r="787" spans="1:17" s="13" customFormat="1" ht="15.75">
      <c r="A787" s="112" t="s">
        <v>288</v>
      </c>
      <c r="B787" s="190"/>
      <c r="C787" s="174" t="s">
        <v>180</v>
      </c>
      <c r="D787" s="237" t="s">
        <v>146</v>
      </c>
      <c r="E787" s="240" t="s">
        <v>313</v>
      </c>
      <c r="F787" s="241"/>
      <c r="G787" s="101">
        <f>G788</f>
        <v>570</v>
      </c>
      <c r="Q787" s="69"/>
    </row>
    <row r="788" spans="1:17" s="13" customFormat="1" ht="15.75">
      <c r="A788" s="184" t="s">
        <v>264</v>
      </c>
      <c r="B788" s="113"/>
      <c r="C788" s="174" t="s">
        <v>180</v>
      </c>
      <c r="D788" s="174" t="s">
        <v>146</v>
      </c>
      <c r="E788" s="200" t="s">
        <v>313</v>
      </c>
      <c r="F788" s="242" t="s">
        <v>216</v>
      </c>
      <c r="G788" s="74">
        <f>G789</f>
        <v>570</v>
      </c>
      <c r="Q788" s="69"/>
    </row>
    <row r="789" spans="1:17" s="13" customFormat="1" ht="15.75">
      <c r="A789" s="136" t="s">
        <v>217</v>
      </c>
      <c r="B789" s="113"/>
      <c r="C789" s="174" t="s">
        <v>180</v>
      </c>
      <c r="D789" s="174" t="s">
        <v>146</v>
      </c>
      <c r="E789" s="200" t="s">
        <v>313</v>
      </c>
      <c r="F789" s="202" t="s">
        <v>215</v>
      </c>
      <c r="G789" s="74">
        <f>390+180</f>
        <v>570</v>
      </c>
      <c r="Q789" s="69"/>
    </row>
    <row r="790" spans="1:17" s="13" customFormat="1" ht="15.75">
      <c r="A790" s="112" t="s">
        <v>131</v>
      </c>
      <c r="B790" s="137"/>
      <c r="C790" s="174" t="s">
        <v>180</v>
      </c>
      <c r="D790" s="174" t="s">
        <v>146</v>
      </c>
      <c r="E790" s="243" t="s">
        <v>23</v>
      </c>
      <c r="F790" s="225"/>
      <c r="G790" s="99">
        <f>G791</f>
        <v>192</v>
      </c>
      <c r="Q790" s="69"/>
    </row>
    <row r="791" spans="1:17" s="13" customFormat="1" ht="15.75">
      <c r="A791" s="110" t="s">
        <v>264</v>
      </c>
      <c r="B791" s="113"/>
      <c r="C791" s="174" t="s">
        <v>180</v>
      </c>
      <c r="D791" s="174" t="s">
        <v>146</v>
      </c>
      <c r="E791" s="200" t="s">
        <v>23</v>
      </c>
      <c r="F791" s="202" t="s">
        <v>216</v>
      </c>
      <c r="G791" s="74">
        <f>G792</f>
        <v>192</v>
      </c>
      <c r="Q791" s="69"/>
    </row>
    <row r="792" spans="1:17" s="13" customFormat="1" ht="15.75">
      <c r="A792" s="136" t="s">
        <v>217</v>
      </c>
      <c r="B792" s="113"/>
      <c r="C792" s="174" t="s">
        <v>180</v>
      </c>
      <c r="D792" s="174" t="s">
        <v>146</v>
      </c>
      <c r="E792" s="200" t="s">
        <v>23</v>
      </c>
      <c r="F792" s="202" t="s">
        <v>215</v>
      </c>
      <c r="G792" s="74">
        <f>230-38</f>
        <v>192</v>
      </c>
      <c r="Q792" s="69"/>
    </row>
    <row r="793" spans="1:17" s="13" customFormat="1" ht="15.75">
      <c r="A793" s="112" t="s">
        <v>551</v>
      </c>
      <c r="B793" s="137"/>
      <c r="C793" s="174" t="s">
        <v>180</v>
      </c>
      <c r="D793" s="174" t="s">
        <v>146</v>
      </c>
      <c r="E793" s="243" t="s">
        <v>550</v>
      </c>
      <c r="F793" s="225"/>
      <c r="G793" s="99">
        <f>G794</f>
        <v>2356</v>
      </c>
      <c r="Q793" s="69"/>
    </row>
    <row r="794" spans="1:17" s="13" customFormat="1" ht="15.75">
      <c r="A794" s="110" t="s">
        <v>264</v>
      </c>
      <c r="B794" s="113"/>
      <c r="C794" s="174" t="s">
        <v>180</v>
      </c>
      <c r="D794" s="174" t="s">
        <v>146</v>
      </c>
      <c r="E794" s="243" t="s">
        <v>550</v>
      </c>
      <c r="F794" s="202" t="s">
        <v>216</v>
      </c>
      <c r="G794" s="74">
        <f>G795</f>
        <v>2356</v>
      </c>
      <c r="Q794" s="69"/>
    </row>
    <row r="795" spans="1:17" s="13" customFormat="1" ht="15.75">
      <c r="A795" s="136" t="s">
        <v>217</v>
      </c>
      <c r="B795" s="113"/>
      <c r="C795" s="174" t="s">
        <v>180</v>
      </c>
      <c r="D795" s="174" t="s">
        <v>146</v>
      </c>
      <c r="E795" s="243" t="s">
        <v>550</v>
      </c>
      <c r="F795" s="202" t="s">
        <v>215</v>
      </c>
      <c r="G795" s="74">
        <v>2356</v>
      </c>
      <c r="Q795" s="69"/>
    </row>
    <row r="796" spans="1:17" s="13" customFormat="1" ht="17.25" customHeight="1">
      <c r="A796" s="106" t="s">
        <v>195</v>
      </c>
      <c r="B796" s="111"/>
      <c r="C796" s="173" t="s">
        <v>196</v>
      </c>
      <c r="D796" s="174"/>
      <c r="E796" s="200"/>
      <c r="F796" s="202"/>
      <c r="G796" s="78">
        <f>G805+G797</f>
        <v>1023.2</v>
      </c>
      <c r="Q796" s="69"/>
    </row>
    <row r="797" spans="1:17" s="13" customFormat="1" ht="15.75">
      <c r="A797" s="106" t="s">
        <v>176</v>
      </c>
      <c r="B797" s="107"/>
      <c r="C797" s="173" t="s">
        <v>196</v>
      </c>
      <c r="D797" s="173" t="s">
        <v>198</v>
      </c>
      <c r="E797" s="200"/>
      <c r="F797" s="202"/>
      <c r="G797" s="78">
        <f>G798+G802</f>
        <v>155.2</v>
      </c>
      <c r="Q797" s="69"/>
    </row>
    <row r="798" spans="1:17" s="13" customFormat="1" ht="15.75">
      <c r="A798" s="106" t="s">
        <v>410</v>
      </c>
      <c r="B798" s="107"/>
      <c r="C798" s="173" t="s">
        <v>196</v>
      </c>
      <c r="D798" s="173" t="s">
        <v>198</v>
      </c>
      <c r="E798" s="201" t="s">
        <v>4</v>
      </c>
      <c r="F798" s="202"/>
      <c r="G798" s="78">
        <f aca="true" t="shared" si="6" ref="G798:G803">G799</f>
        <v>5</v>
      </c>
      <c r="Q798" s="69"/>
    </row>
    <row r="799" spans="1:17" s="13" customFormat="1" ht="15.75">
      <c r="A799" s="112" t="s">
        <v>119</v>
      </c>
      <c r="B799" s="111"/>
      <c r="C799" s="174" t="s">
        <v>196</v>
      </c>
      <c r="D799" s="174" t="s">
        <v>198</v>
      </c>
      <c r="E799" s="200" t="s">
        <v>5</v>
      </c>
      <c r="F799" s="202"/>
      <c r="G799" s="74">
        <f t="shared" si="6"/>
        <v>5</v>
      </c>
      <c r="Q799" s="69"/>
    </row>
    <row r="800" spans="1:17" s="13" customFormat="1" ht="15.75">
      <c r="A800" s="112" t="s">
        <v>107</v>
      </c>
      <c r="B800" s="111"/>
      <c r="C800" s="174" t="s">
        <v>196</v>
      </c>
      <c r="D800" s="174" t="s">
        <v>198</v>
      </c>
      <c r="E800" s="200" t="s">
        <v>5</v>
      </c>
      <c r="F800" s="202" t="s">
        <v>100</v>
      </c>
      <c r="G800" s="74">
        <f t="shared" si="6"/>
        <v>5</v>
      </c>
      <c r="Q800" s="69"/>
    </row>
    <row r="801" spans="1:17" s="13" customFormat="1" ht="25.5">
      <c r="A801" s="112" t="s">
        <v>266</v>
      </c>
      <c r="B801" s="111"/>
      <c r="C801" s="174" t="s">
        <v>196</v>
      </c>
      <c r="D801" s="174" t="s">
        <v>198</v>
      </c>
      <c r="E801" s="200" t="s">
        <v>5</v>
      </c>
      <c r="F801" s="202" t="s">
        <v>101</v>
      </c>
      <c r="G801" s="74">
        <v>5</v>
      </c>
      <c r="Q801" s="69"/>
    </row>
    <row r="802" spans="1:17" s="13" customFormat="1" ht="15.75">
      <c r="A802" s="112" t="s">
        <v>660</v>
      </c>
      <c r="B802" s="111"/>
      <c r="C802" s="174" t="s">
        <v>196</v>
      </c>
      <c r="D802" s="174" t="s">
        <v>198</v>
      </c>
      <c r="E802" s="200" t="s">
        <v>661</v>
      </c>
      <c r="F802" s="202"/>
      <c r="G802" s="74">
        <f t="shared" si="6"/>
        <v>150.2</v>
      </c>
      <c r="Q802" s="69"/>
    </row>
    <row r="803" spans="1:17" s="13" customFormat="1" ht="15.75">
      <c r="A803" s="184" t="s">
        <v>264</v>
      </c>
      <c r="B803" s="111"/>
      <c r="C803" s="174" t="s">
        <v>196</v>
      </c>
      <c r="D803" s="174" t="s">
        <v>198</v>
      </c>
      <c r="E803" s="200" t="s">
        <v>661</v>
      </c>
      <c r="F803" s="202" t="s">
        <v>216</v>
      </c>
      <c r="G803" s="74">
        <f t="shared" si="6"/>
        <v>150.2</v>
      </c>
      <c r="Q803" s="69"/>
    </row>
    <row r="804" spans="1:17" s="13" customFormat="1" ht="15.75">
      <c r="A804" s="136" t="s">
        <v>217</v>
      </c>
      <c r="B804" s="111"/>
      <c r="C804" s="174" t="s">
        <v>196</v>
      </c>
      <c r="D804" s="174" t="s">
        <v>198</v>
      </c>
      <c r="E804" s="200" t="s">
        <v>661</v>
      </c>
      <c r="F804" s="202" t="s">
        <v>215</v>
      </c>
      <c r="G804" s="74">
        <v>150.2</v>
      </c>
      <c r="Q804" s="69"/>
    </row>
    <row r="805" spans="1:17" s="13" customFormat="1" ht="15.75">
      <c r="A805" s="125" t="s">
        <v>159</v>
      </c>
      <c r="B805" s="107"/>
      <c r="C805" s="173" t="s">
        <v>196</v>
      </c>
      <c r="D805" s="173" t="s">
        <v>188</v>
      </c>
      <c r="E805" s="200"/>
      <c r="F805" s="225"/>
      <c r="G805" s="78">
        <f>G806</f>
        <v>868</v>
      </c>
      <c r="Q805" s="69"/>
    </row>
    <row r="806" spans="1:17" s="13" customFormat="1" ht="15.75">
      <c r="A806" s="125" t="s">
        <v>408</v>
      </c>
      <c r="B806" s="137"/>
      <c r="C806" s="173" t="s">
        <v>196</v>
      </c>
      <c r="D806" s="173" t="s">
        <v>188</v>
      </c>
      <c r="E806" s="201" t="s">
        <v>22</v>
      </c>
      <c r="F806" s="224"/>
      <c r="G806" s="98">
        <f>G807</f>
        <v>868</v>
      </c>
      <c r="Q806" s="69"/>
    </row>
    <row r="807" spans="1:17" s="13" customFormat="1" ht="15.75">
      <c r="A807" s="112" t="s">
        <v>132</v>
      </c>
      <c r="B807" s="111"/>
      <c r="C807" s="174" t="s">
        <v>196</v>
      </c>
      <c r="D807" s="174" t="s">
        <v>188</v>
      </c>
      <c r="E807" s="200" t="s">
        <v>24</v>
      </c>
      <c r="F807" s="202"/>
      <c r="G807" s="74">
        <f>G808+G810</f>
        <v>868</v>
      </c>
      <c r="Q807" s="69"/>
    </row>
    <row r="808" spans="1:17" s="13" customFormat="1" ht="15.75">
      <c r="A808" s="110" t="s">
        <v>264</v>
      </c>
      <c r="B808" s="113"/>
      <c r="C808" s="174" t="s">
        <v>196</v>
      </c>
      <c r="D808" s="174" t="s">
        <v>188</v>
      </c>
      <c r="E808" s="200" t="s">
        <v>24</v>
      </c>
      <c r="F808" s="202" t="s">
        <v>216</v>
      </c>
      <c r="G808" s="74">
        <f>G809</f>
        <v>844.9</v>
      </c>
      <c r="Q808" s="69"/>
    </row>
    <row r="809" spans="1:17" s="13" customFormat="1" ht="15.75">
      <c r="A809" s="136" t="s">
        <v>217</v>
      </c>
      <c r="B809" s="113"/>
      <c r="C809" s="174" t="s">
        <v>196</v>
      </c>
      <c r="D809" s="174" t="s">
        <v>188</v>
      </c>
      <c r="E809" s="200" t="s">
        <v>24</v>
      </c>
      <c r="F809" s="202" t="s">
        <v>215</v>
      </c>
      <c r="G809" s="74">
        <v>844.9</v>
      </c>
      <c r="Q809" s="69"/>
    </row>
    <row r="810" spans="1:17" s="13" customFormat="1" ht="15.75">
      <c r="A810" s="110" t="s">
        <v>107</v>
      </c>
      <c r="B810" s="113"/>
      <c r="C810" s="174" t="s">
        <v>196</v>
      </c>
      <c r="D810" s="174" t="s">
        <v>188</v>
      </c>
      <c r="E810" s="200" t="s">
        <v>24</v>
      </c>
      <c r="F810" s="202" t="s">
        <v>100</v>
      </c>
      <c r="G810" s="74">
        <f>G811</f>
        <v>23.1</v>
      </c>
      <c r="Q810" s="69"/>
    </row>
    <row r="811" spans="1:17" s="13" customFormat="1" ht="15.75">
      <c r="A811" s="136" t="s">
        <v>351</v>
      </c>
      <c r="B811" s="113"/>
      <c r="C811" s="174" t="s">
        <v>196</v>
      </c>
      <c r="D811" s="174" t="s">
        <v>188</v>
      </c>
      <c r="E811" s="200" t="s">
        <v>24</v>
      </c>
      <c r="F811" s="202" t="s">
        <v>607</v>
      </c>
      <c r="G811" s="74">
        <v>23.1</v>
      </c>
      <c r="Q811" s="69"/>
    </row>
    <row r="812" spans="1:17" s="13" customFormat="1" ht="15.75">
      <c r="A812" s="106" t="s">
        <v>167</v>
      </c>
      <c r="B812" s="111"/>
      <c r="C812" s="173" t="s">
        <v>198</v>
      </c>
      <c r="D812" s="173"/>
      <c r="E812" s="214" t="s">
        <v>201</v>
      </c>
      <c r="F812" s="215" t="s">
        <v>201</v>
      </c>
      <c r="G812" s="78">
        <f>G813</f>
        <v>1842.52</v>
      </c>
      <c r="Q812" s="69"/>
    </row>
    <row r="813" spans="1:17" s="13" customFormat="1" ht="15.75">
      <c r="A813" s="134" t="s">
        <v>241</v>
      </c>
      <c r="B813" s="107"/>
      <c r="C813" s="173" t="s">
        <v>198</v>
      </c>
      <c r="D813" s="173" t="s">
        <v>180</v>
      </c>
      <c r="E813" s="201"/>
      <c r="F813" s="203"/>
      <c r="G813" s="78">
        <f>G814+G818</f>
        <v>1842.52</v>
      </c>
      <c r="Q813" s="69"/>
    </row>
    <row r="814" spans="1:17" s="13" customFormat="1" ht="15.75">
      <c r="A814" s="125" t="s">
        <v>408</v>
      </c>
      <c r="B814" s="115"/>
      <c r="C814" s="173" t="s">
        <v>198</v>
      </c>
      <c r="D814" s="173" t="s">
        <v>180</v>
      </c>
      <c r="E814" s="201" t="s">
        <v>22</v>
      </c>
      <c r="F814" s="203"/>
      <c r="G814" s="78">
        <f>G815</f>
        <v>1558.2</v>
      </c>
      <c r="Q814" s="69"/>
    </row>
    <row r="815" spans="1:17" s="13" customFormat="1" ht="15.75">
      <c r="A815" s="108" t="s">
        <v>3</v>
      </c>
      <c r="B815" s="113"/>
      <c r="C815" s="174" t="s">
        <v>198</v>
      </c>
      <c r="D815" s="174" t="s">
        <v>180</v>
      </c>
      <c r="E815" s="200" t="s">
        <v>10</v>
      </c>
      <c r="F815" s="202"/>
      <c r="G815" s="74">
        <f>G816</f>
        <v>1558.2</v>
      </c>
      <c r="Q815" s="69"/>
    </row>
    <row r="816" spans="1:17" s="13" customFormat="1" ht="15.75">
      <c r="A816" s="110" t="s">
        <v>264</v>
      </c>
      <c r="B816" s="113"/>
      <c r="C816" s="174" t="s">
        <v>198</v>
      </c>
      <c r="D816" s="174" t="s">
        <v>180</v>
      </c>
      <c r="E816" s="200" t="s">
        <v>10</v>
      </c>
      <c r="F816" s="202" t="s">
        <v>216</v>
      </c>
      <c r="G816" s="74">
        <f>G817</f>
        <v>1558.2</v>
      </c>
      <c r="Q816" s="69"/>
    </row>
    <row r="817" spans="1:17" s="13" customFormat="1" ht="15.75">
      <c r="A817" s="136" t="s">
        <v>217</v>
      </c>
      <c r="B817" s="113"/>
      <c r="C817" s="174" t="s">
        <v>198</v>
      </c>
      <c r="D817" s="174" t="s">
        <v>180</v>
      </c>
      <c r="E817" s="200" t="s">
        <v>10</v>
      </c>
      <c r="F817" s="202" t="s">
        <v>215</v>
      </c>
      <c r="G817" s="74">
        <v>1558.2</v>
      </c>
      <c r="Q817" s="69"/>
    </row>
    <row r="818" spans="1:17" s="13" customFormat="1" ht="15.75">
      <c r="A818" s="134" t="s">
        <v>402</v>
      </c>
      <c r="B818" s="191"/>
      <c r="C818" s="173" t="s">
        <v>198</v>
      </c>
      <c r="D818" s="173" t="s">
        <v>180</v>
      </c>
      <c r="E818" s="201" t="s">
        <v>403</v>
      </c>
      <c r="F818" s="203"/>
      <c r="G818" s="78">
        <f>G819+G822+G825</f>
        <v>284.32</v>
      </c>
      <c r="Q818" s="69"/>
    </row>
    <row r="819" spans="1:17" s="13" customFormat="1" ht="38.25">
      <c r="A819" s="144" t="s">
        <v>406</v>
      </c>
      <c r="B819" s="191"/>
      <c r="C819" s="174" t="s">
        <v>198</v>
      </c>
      <c r="D819" s="174" t="s">
        <v>180</v>
      </c>
      <c r="E819" s="200" t="s">
        <v>404</v>
      </c>
      <c r="F819" s="203"/>
      <c r="G819" s="74">
        <f>G820</f>
        <v>278.32</v>
      </c>
      <c r="Q819" s="69"/>
    </row>
    <row r="820" spans="1:17" s="13" customFormat="1" ht="15.75">
      <c r="A820" s="112" t="s">
        <v>107</v>
      </c>
      <c r="B820" s="192"/>
      <c r="C820" s="174" t="s">
        <v>198</v>
      </c>
      <c r="D820" s="174" t="s">
        <v>180</v>
      </c>
      <c r="E820" s="200" t="s">
        <v>404</v>
      </c>
      <c r="F820" s="202" t="s">
        <v>100</v>
      </c>
      <c r="G820" s="74">
        <f>G821</f>
        <v>278.32</v>
      </c>
      <c r="Q820" s="69"/>
    </row>
    <row r="821" spans="1:17" s="13" customFormat="1" ht="15.75">
      <c r="A821" s="187" t="s">
        <v>242</v>
      </c>
      <c r="B821" s="192"/>
      <c r="C821" s="174" t="s">
        <v>198</v>
      </c>
      <c r="D821" s="174" t="s">
        <v>180</v>
      </c>
      <c r="E821" s="200" t="s">
        <v>404</v>
      </c>
      <c r="F821" s="202" t="s">
        <v>243</v>
      </c>
      <c r="G821" s="102">
        <v>278.32</v>
      </c>
      <c r="Q821" s="69"/>
    </row>
    <row r="822" spans="1:17" s="13" customFormat="1" ht="38.25">
      <c r="A822" s="144" t="s">
        <v>407</v>
      </c>
      <c r="B822" s="191"/>
      <c r="C822" s="174" t="s">
        <v>198</v>
      </c>
      <c r="D822" s="174" t="s">
        <v>180</v>
      </c>
      <c r="E822" s="200" t="s">
        <v>405</v>
      </c>
      <c r="F822" s="203"/>
      <c r="G822" s="74">
        <f>G823</f>
        <v>5.4</v>
      </c>
      <c r="Q822" s="69"/>
    </row>
    <row r="823" spans="1:17" s="13" customFormat="1" ht="15.75">
      <c r="A823" s="112" t="s">
        <v>107</v>
      </c>
      <c r="B823" s="192"/>
      <c r="C823" s="174" t="s">
        <v>198</v>
      </c>
      <c r="D823" s="174" t="s">
        <v>180</v>
      </c>
      <c r="E823" s="200" t="s">
        <v>405</v>
      </c>
      <c r="F823" s="202" t="s">
        <v>100</v>
      </c>
      <c r="G823" s="74">
        <f>G824</f>
        <v>5.4</v>
      </c>
      <c r="Q823" s="69"/>
    </row>
    <row r="824" spans="1:17" s="13" customFormat="1" ht="15.75">
      <c r="A824" s="187" t="s">
        <v>242</v>
      </c>
      <c r="B824" s="192"/>
      <c r="C824" s="174" t="s">
        <v>198</v>
      </c>
      <c r="D824" s="174" t="s">
        <v>180</v>
      </c>
      <c r="E824" s="200" t="s">
        <v>405</v>
      </c>
      <c r="F824" s="202" t="s">
        <v>243</v>
      </c>
      <c r="G824" s="102">
        <v>5.4</v>
      </c>
      <c r="Q824" s="69"/>
    </row>
    <row r="825" spans="1:17" s="13" customFormat="1" ht="38.25">
      <c r="A825" s="144" t="s">
        <v>640</v>
      </c>
      <c r="B825" s="191"/>
      <c r="C825" s="174" t="s">
        <v>198</v>
      </c>
      <c r="D825" s="174" t="s">
        <v>180</v>
      </c>
      <c r="E825" s="200" t="s">
        <v>639</v>
      </c>
      <c r="F825" s="203"/>
      <c r="G825" s="74">
        <f>G826</f>
        <v>0.6</v>
      </c>
      <c r="Q825" s="69"/>
    </row>
    <row r="826" spans="1:17" s="13" customFormat="1" ht="15.75">
      <c r="A826" s="112" t="s">
        <v>107</v>
      </c>
      <c r="B826" s="192"/>
      <c r="C826" s="174" t="s">
        <v>198</v>
      </c>
      <c r="D826" s="174" t="s">
        <v>180</v>
      </c>
      <c r="E826" s="200" t="s">
        <v>639</v>
      </c>
      <c r="F826" s="202" t="s">
        <v>100</v>
      </c>
      <c r="G826" s="74">
        <f>G827</f>
        <v>0.6</v>
      </c>
      <c r="Q826" s="69"/>
    </row>
    <row r="827" spans="1:17" s="13" customFormat="1" ht="15.75">
      <c r="A827" s="187" t="s">
        <v>242</v>
      </c>
      <c r="B827" s="192"/>
      <c r="C827" s="174" t="s">
        <v>198</v>
      </c>
      <c r="D827" s="174" t="s">
        <v>180</v>
      </c>
      <c r="E827" s="200" t="s">
        <v>639</v>
      </c>
      <c r="F827" s="202" t="s">
        <v>243</v>
      </c>
      <c r="G827" s="102">
        <v>0.6</v>
      </c>
      <c r="Q827" s="69"/>
    </row>
    <row r="828" spans="1:17" s="13" customFormat="1" ht="15.75">
      <c r="A828" s="106" t="s">
        <v>178</v>
      </c>
      <c r="B828" s="111"/>
      <c r="C828" s="173" t="s">
        <v>150</v>
      </c>
      <c r="D828" s="173"/>
      <c r="E828" s="214" t="s">
        <v>201</v>
      </c>
      <c r="F828" s="215" t="s">
        <v>201</v>
      </c>
      <c r="G828" s="78">
        <f>G829</f>
        <v>7222.837</v>
      </c>
      <c r="Q828" s="69"/>
    </row>
    <row r="829" spans="1:17" s="13" customFormat="1" ht="15.75">
      <c r="A829" s="134" t="s">
        <v>182</v>
      </c>
      <c r="B829" s="107"/>
      <c r="C829" s="173" t="s">
        <v>150</v>
      </c>
      <c r="D829" s="173" t="s">
        <v>196</v>
      </c>
      <c r="E829" s="201"/>
      <c r="F829" s="203"/>
      <c r="G829" s="78">
        <f>G830</f>
        <v>7222.837</v>
      </c>
      <c r="Q829" s="69"/>
    </row>
    <row r="830" spans="1:7" ht="15.75">
      <c r="A830" s="125" t="s">
        <v>408</v>
      </c>
      <c r="B830" s="115"/>
      <c r="C830" s="173" t="s">
        <v>150</v>
      </c>
      <c r="D830" s="173" t="s">
        <v>196</v>
      </c>
      <c r="E830" s="201" t="s">
        <v>22</v>
      </c>
      <c r="F830" s="203"/>
      <c r="G830" s="78">
        <f>G833+G834</f>
        <v>7222.837</v>
      </c>
    </row>
    <row r="831" spans="1:7" ht="26.25">
      <c r="A831" s="108" t="s">
        <v>528</v>
      </c>
      <c r="B831" s="113"/>
      <c r="C831" s="174" t="s">
        <v>150</v>
      </c>
      <c r="D831" s="174" t="s">
        <v>196</v>
      </c>
      <c r="E831" s="200" t="s">
        <v>527</v>
      </c>
      <c r="F831" s="202"/>
      <c r="G831" s="74">
        <f>G832</f>
        <v>4894.610000000001</v>
      </c>
    </row>
    <row r="832" spans="1:7" ht="15.75">
      <c r="A832" s="128" t="s">
        <v>265</v>
      </c>
      <c r="B832" s="113"/>
      <c r="C832" s="174" t="s">
        <v>150</v>
      </c>
      <c r="D832" s="174" t="s">
        <v>196</v>
      </c>
      <c r="E832" s="200" t="s">
        <v>527</v>
      </c>
      <c r="F832" s="202" t="s">
        <v>229</v>
      </c>
      <c r="G832" s="74">
        <f>G833</f>
        <v>4894.610000000001</v>
      </c>
    </row>
    <row r="833" spans="1:7" ht="15.75">
      <c r="A833" s="187" t="s">
        <v>207</v>
      </c>
      <c r="B833" s="113"/>
      <c r="C833" s="174" t="s">
        <v>150</v>
      </c>
      <c r="D833" s="174" t="s">
        <v>196</v>
      </c>
      <c r="E833" s="200" t="s">
        <v>527</v>
      </c>
      <c r="F833" s="202" t="s">
        <v>230</v>
      </c>
      <c r="G833" s="74">
        <f>4511.31+383.3</f>
        <v>4894.610000000001</v>
      </c>
    </row>
    <row r="834" spans="1:7" ht="26.25">
      <c r="A834" s="108" t="s">
        <v>529</v>
      </c>
      <c r="B834" s="113"/>
      <c r="C834" s="174" t="s">
        <v>150</v>
      </c>
      <c r="D834" s="174" t="s">
        <v>196</v>
      </c>
      <c r="E834" s="200" t="s">
        <v>530</v>
      </c>
      <c r="F834" s="202"/>
      <c r="G834" s="74">
        <f>G835</f>
        <v>2328.227</v>
      </c>
    </row>
    <row r="835" spans="1:7" ht="15.75">
      <c r="A835" s="128" t="s">
        <v>265</v>
      </c>
      <c r="B835" s="113"/>
      <c r="C835" s="174" t="s">
        <v>150</v>
      </c>
      <c r="D835" s="174" t="s">
        <v>196</v>
      </c>
      <c r="E835" s="200" t="s">
        <v>530</v>
      </c>
      <c r="F835" s="202" t="s">
        <v>229</v>
      </c>
      <c r="G835" s="74">
        <f>G836</f>
        <v>2328.227</v>
      </c>
    </row>
    <row r="836" spans="1:7" ht="15.75">
      <c r="A836" s="187" t="s">
        <v>207</v>
      </c>
      <c r="B836" s="113"/>
      <c r="C836" s="174" t="s">
        <v>150</v>
      </c>
      <c r="D836" s="174" t="s">
        <v>196</v>
      </c>
      <c r="E836" s="200" t="s">
        <v>530</v>
      </c>
      <c r="F836" s="202" t="s">
        <v>230</v>
      </c>
      <c r="G836" s="74">
        <v>2328.227</v>
      </c>
    </row>
    <row r="837" spans="1:7" ht="15.75">
      <c r="A837" s="139" t="s">
        <v>497</v>
      </c>
      <c r="B837" s="140" t="s">
        <v>240</v>
      </c>
      <c r="C837" s="222"/>
      <c r="D837" s="222"/>
      <c r="E837" s="223"/>
      <c r="F837" s="222"/>
      <c r="G837" s="78">
        <f>G838</f>
        <v>2441</v>
      </c>
    </row>
    <row r="838" spans="1:7" ht="15.75">
      <c r="A838" s="106" t="s">
        <v>154</v>
      </c>
      <c r="B838" s="107"/>
      <c r="C838" s="173" t="s">
        <v>180</v>
      </c>
      <c r="D838" s="174"/>
      <c r="E838" s="200" t="s">
        <v>201</v>
      </c>
      <c r="F838" s="174"/>
      <c r="G838" s="78">
        <f>G839</f>
        <v>2441</v>
      </c>
    </row>
    <row r="839" spans="1:7" ht="25.5">
      <c r="A839" s="125" t="s">
        <v>177</v>
      </c>
      <c r="B839" s="137"/>
      <c r="C839" s="173" t="s">
        <v>180</v>
      </c>
      <c r="D839" s="173" t="s">
        <v>153</v>
      </c>
      <c r="E839" s="201" t="s">
        <v>201</v>
      </c>
      <c r="F839" s="224"/>
      <c r="G839" s="98">
        <f>G840</f>
        <v>2441</v>
      </c>
    </row>
    <row r="840" spans="1:7" ht="15.75">
      <c r="A840" s="125" t="s">
        <v>498</v>
      </c>
      <c r="B840" s="137"/>
      <c r="C840" s="173" t="s">
        <v>180</v>
      </c>
      <c r="D840" s="173" t="s">
        <v>153</v>
      </c>
      <c r="E840" s="201" t="s">
        <v>80</v>
      </c>
      <c r="F840" s="224"/>
      <c r="G840" s="98">
        <f>G841+G845</f>
        <v>2441</v>
      </c>
    </row>
    <row r="841" spans="1:7" ht="15.75">
      <c r="A841" s="112" t="s">
        <v>499</v>
      </c>
      <c r="B841" s="137"/>
      <c r="C841" s="174" t="s">
        <v>180</v>
      </c>
      <c r="D841" s="174" t="s">
        <v>153</v>
      </c>
      <c r="E841" s="200" t="s">
        <v>81</v>
      </c>
      <c r="F841" s="225"/>
      <c r="G841" s="99">
        <f>G842</f>
        <v>1354</v>
      </c>
    </row>
    <row r="842" spans="1:7" ht="15.75">
      <c r="A842" s="112" t="s">
        <v>123</v>
      </c>
      <c r="B842" s="137"/>
      <c r="C842" s="174" t="s">
        <v>180</v>
      </c>
      <c r="D842" s="174" t="s">
        <v>153</v>
      </c>
      <c r="E842" s="200" t="s">
        <v>82</v>
      </c>
      <c r="F842" s="225"/>
      <c r="G842" s="99">
        <f>G843</f>
        <v>1354</v>
      </c>
    </row>
    <row r="843" spans="1:7" ht="25.5">
      <c r="A843" s="110" t="s">
        <v>139</v>
      </c>
      <c r="B843" s="137"/>
      <c r="C843" s="174" t="s">
        <v>180</v>
      </c>
      <c r="D843" s="174" t="s">
        <v>153</v>
      </c>
      <c r="E843" s="200" t="s">
        <v>82</v>
      </c>
      <c r="F843" s="202" t="s">
        <v>228</v>
      </c>
      <c r="G843" s="99">
        <f>G844</f>
        <v>1354</v>
      </c>
    </row>
    <row r="844" spans="1:7" ht="15.75">
      <c r="A844" s="110" t="s">
        <v>223</v>
      </c>
      <c r="B844" s="137"/>
      <c r="C844" s="174" t="s">
        <v>180</v>
      </c>
      <c r="D844" s="174" t="s">
        <v>153</v>
      </c>
      <c r="E844" s="200" t="s">
        <v>82</v>
      </c>
      <c r="F844" s="202" t="s">
        <v>224</v>
      </c>
      <c r="G844" s="74">
        <f>1032.4+321.6</f>
        <v>1354</v>
      </c>
    </row>
    <row r="845" spans="1:7" ht="15.75">
      <c r="A845" s="117" t="s">
        <v>500</v>
      </c>
      <c r="B845" s="137"/>
      <c r="C845" s="174" t="s">
        <v>180</v>
      </c>
      <c r="D845" s="174" t="s">
        <v>153</v>
      </c>
      <c r="E845" s="200" t="s">
        <v>83</v>
      </c>
      <c r="F845" s="202"/>
      <c r="G845" s="74">
        <f>G846+G851</f>
        <v>1087</v>
      </c>
    </row>
    <row r="846" spans="1:7" ht="15.75">
      <c r="A846" s="112" t="s">
        <v>123</v>
      </c>
      <c r="B846" s="137"/>
      <c r="C846" s="174" t="s">
        <v>180</v>
      </c>
      <c r="D846" s="174" t="s">
        <v>153</v>
      </c>
      <c r="E846" s="200" t="s">
        <v>84</v>
      </c>
      <c r="F846" s="225"/>
      <c r="G846" s="99">
        <f>G847+G849</f>
        <v>170.39999999999998</v>
      </c>
    </row>
    <row r="847" spans="1:7" ht="25.5">
      <c r="A847" s="110" t="s">
        <v>139</v>
      </c>
      <c r="B847" s="137"/>
      <c r="C847" s="174" t="s">
        <v>180</v>
      </c>
      <c r="D847" s="174" t="s">
        <v>153</v>
      </c>
      <c r="E847" s="200" t="s">
        <v>84</v>
      </c>
      <c r="F847" s="202" t="s">
        <v>228</v>
      </c>
      <c r="G847" s="99">
        <f>G848</f>
        <v>84.8</v>
      </c>
    </row>
    <row r="848" spans="1:7" ht="15.75">
      <c r="A848" s="110" t="s">
        <v>223</v>
      </c>
      <c r="B848" s="137"/>
      <c r="C848" s="174" t="s">
        <v>180</v>
      </c>
      <c r="D848" s="174" t="s">
        <v>153</v>
      </c>
      <c r="E848" s="200" t="s">
        <v>84</v>
      </c>
      <c r="F848" s="202" t="s">
        <v>224</v>
      </c>
      <c r="G848" s="74">
        <f>84.8</f>
        <v>84.8</v>
      </c>
    </row>
    <row r="849" spans="1:7" ht="15.75">
      <c r="A849" s="110" t="s">
        <v>264</v>
      </c>
      <c r="B849" s="113"/>
      <c r="C849" s="174" t="s">
        <v>180</v>
      </c>
      <c r="D849" s="174" t="s">
        <v>153</v>
      </c>
      <c r="E849" s="200" t="s">
        <v>84</v>
      </c>
      <c r="F849" s="202" t="s">
        <v>216</v>
      </c>
      <c r="G849" s="74">
        <f>G850</f>
        <v>85.6</v>
      </c>
    </row>
    <row r="850" spans="1:7" ht="15.75">
      <c r="A850" s="144" t="s">
        <v>217</v>
      </c>
      <c r="B850" s="113"/>
      <c r="C850" s="174" t="s">
        <v>180</v>
      </c>
      <c r="D850" s="174" t="s">
        <v>153</v>
      </c>
      <c r="E850" s="200" t="s">
        <v>84</v>
      </c>
      <c r="F850" s="202" t="s">
        <v>215</v>
      </c>
      <c r="G850" s="74">
        <v>85.6</v>
      </c>
    </row>
    <row r="851" spans="1:7" ht="15.75">
      <c r="A851" s="112" t="s">
        <v>124</v>
      </c>
      <c r="B851" s="137"/>
      <c r="C851" s="174" t="s">
        <v>180</v>
      </c>
      <c r="D851" s="174" t="s">
        <v>153</v>
      </c>
      <c r="E851" s="200" t="s">
        <v>85</v>
      </c>
      <c r="F851" s="225"/>
      <c r="G851" s="99">
        <f>G852</f>
        <v>916.6</v>
      </c>
    </row>
    <row r="852" spans="1:7" ht="25.5">
      <c r="A852" s="110" t="s">
        <v>139</v>
      </c>
      <c r="B852" s="137"/>
      <c r="C852" s="174" t="s">
        <v>180</v>
      </c>
      <c r="D852" s="174" t="s">
        <v>153</v>
      </c>
      <c r="E852" s="200" t="s">
        <v>85</v>
      </c>
      <c r="F852" s="202" t="s">
        <v>228</v>
      </c>
      <c r="G852" s="99">
        <f>G853</f>
        <v>916.6</v>
      </c>
    </row>
    <row r="853" spans="1:7" ht="15.75">
      <c r="A853" s="110" t="s">
        <v>223</v>
      </c>
      <c r="B853" s="137"/>
      <c r="C853" s="174" t="s">
        <v>180</v>
      </c>
      <c r="D853" s="174" t="s">
        <v>153</v>
      </c>
      <c r="E853" s="200" t="s">
        <v>85</v>
      </c>
      <c r="F853" s="202" t="s">
        <v>224</v>
      </c>
      <c r="G853" s="74">
        <f>704+212.6</f>
        <v>916.6</v>
      </c>
    </row>
    <row r="854" spans="1:7" ht="26.25">
      <c r="A854" s="139" t="s">
        <v>398</v>
      </c>
      <c r="B854" s="140" t="s">
        <v>246</v>
      </c>
      <c r="C854" s="222"/>
      <c r="D854" s="222"/>
      <c r="E854" s="223"/>
      <c r="F854" s="222"/>
      <c r="G854" s="78">
        <f>G855+G868+G879+G922+G948+G939</f>
        <v>313127.642</v>
      </c>
    </row>
    <row r="855" spans="1:7" ht="15.75">
      <c r="A855" s="106" t="s">
        <v>154</v>
      </c>
      <c r="B855" s="107"/>
      <c r="C855" s="173" t="s">
        <v>180</v>
      </c>
      <c r="D855" s="174"/>
      <c r="E855" s="200" t="s">
        <v>201</v>
      </c>
      <c r="F855" s="174"/>
      <c r="G855" s="100">
        <f>G857+G863</f>
        <v>14944.5</v>
      </c>
    </row>
    <row r="856" spans="1:7" ht="26.25">
      <c r="A856" s="106" t="s">
        <v>238</v>
      </c>
      <c r="B856" s="107"/>
      <c r="C856" s="173" t="s">
        <v>180</v>
      </c>
      <c r="D856" s="173" t="s">
        <v>196</v>
      </c>
      <c r="E856" s="201"/>
      <c r="F856" s="203"/>
      <c r="G856" s="78">
        <f>G857</f>
        <v>12306</v>
      </c>
    </row>
    <row r="857" spans="1:7" ht="26.25">
      <c r="A857" s="106" t="s">
        <v>501</v>
      </c>
      <c r="B857" s="107"/>
      <c r="C857" s="173" t="s">
        <v>180</v>
      </c>
      <c r="D857" s="173" t="s">
        <v>196</v>
      </c>
      <c r="E857" s="201" t="s">
        <v>314</v>
      </c>
      <c r="F857" s="203"/>
      <c r="G857" s="78">
        <f>G858</f>
        <v>12306</v>
      </c>
    </row>
    <row r="858" spans="1:7" ht="15.75">
      <c r="A858" s="108" t="s">
        <v>138</v>
      </c>
      <c r="B858" s="107"/>
      <c r="C858" s="174" t="s">
        <v>180</v>
      </c>
      <c r="D858" s="174" t="s">
        <v>196</v>
      </c>
      <c r="E858" s="200" t="s">
        <v>315</v>
      </c>
      <c r="F858" s="202"/>
      <c r="G858" s="74">
        <f>G859+G861</f>
        <v>12306</v>
      </c>
    </row>
    <row r="859" spans="1:7" ht="25.5" hidden="1">
      <c r="A859" s="110" t="s">
        <v>139</v>
      </c>
      <c r="B859" s="107"/>
      <c r="C859" s="174" t="s">
        <v>180</v>
      </c>
      <c r="D859" s="174" t="s">
        <v>196</v>
      </c>
      <c r="E859" s="200" t="s">
        <v>315</v>
      </c>
      <c r="F859" s="202" t="s">
        <v>228</v>
      </c>
      <c r="G859" s="74">
        <f>G860</f>
        <v>11401.2</v>
      </c>
    </row>
    <row r="860" spans="1:7" ht="15.75" hidden="1">
      <c r="A860" s="110" t="s">
        <v>223</v>
      </c>
      <c r="B860" s="113"/>
      <c r="C860" s="174" t="s">
        <v>180</v>
      </c>
      <c r="D860" s="174" t="s">
        <v>196</v>
      </c>
      <c r="E860" s="200" t="s">
        <v>315</v>
      </c>
      <c r="F860" s="202" t="s">
        <v>224</v>
      </c>
      <c r="G860" s="74">
        <f>8653.1+135+2613.1</f>
        <v>11401.2</v>
      </c>
    </row>
    <row r="861" spans="1:7" ht="15.75" hidden="1">
      <c r="A861" s="110" t="s">
        <v>264</v>
      </c>
      <c r="B861" s="113"/>
      <c r="C861" s="174" t="s">
        <v>180</v>
      </c>
      <c r="D861" s="174" t="s">
        <v>196</v>
      </c>
      <c r="E861" s="200" t="s">
        <v>315</v>
      </c>
      <c r="F861" s="202" t="s">
        <v>216</v>
      </c>
      <c r="G861" s="74">
        <f>G862</f>
        <v>904.8</v>
      </c>
    </row>
    <row r="862" spans="1:7" ht="15.75" hidden="1">
      <c r="A862" s="110" t="s">
        <v>217</v>
      </c>
      <c r="B862" s="113"/>
      <c r="C862" s="174" t="s">
        <v>180</v>
      </c>
      <c r="D862" s="174" t="s">
        <v>196</v>
      </c>
      <c r="E862" s="200" t="s">
        <v>315</v>
      </c>
      <c r="F862" s="202" t="s">
        <v>215</v>
      </c>
      <c r="G862" s="74">
        <v>904.8</v>
      </c>
    </row>
    <row r="863" spans="1:7" ht="26.25" hidden="1">
      <c r="A863" s="106" t="s">
        <v>238</v>
      </c>
      <c r="B863" s="107"/>
      <c r="C863" s="173" t="s">
        <v>180</v>
      </c>
      <c r="D863" s="173" t="s">
        <v>146</v>
      </c>
      <c r="E863" s="201"/>
      <c r="F863" s="203"/>
      <c r="G863" s="78">
        <f>G864</f>
        <v>2638.5</v>
      </c>
    </row>
    <row r="864" spans="1:7" ht="15.75" hidden="1">
      <c r="A864" s="106" t="s">
        <v>349</v>
      </c>
      <c r="B864" s="107"/>
      <c r="C864" s="173" t="s">
        <v>180</v>
      </c>
      <c r="D864" s="173" t="s">
        <v>146</v>
      </c>
      <c r="E864" s="201" t="s">
        <v>348</v>
      </c>
      <c r="F864" s="203"/>
      <c r="G864" s="78">
        <f>G865</f>
        <v>2638.5</v>
      </c>
    </row>
    <row r="865" spans="1:7" ht="15.75" hidden="1">
      <c r="A865" s="108" t="s">
        <v>138</v>
      </c>
      <c r="B865" s="107"/>
      <c r="C865" s="174" t="s">
        <v>180</v>
      </c>
      <c r="D865" s="174" t="s">
        <v>146</v>
      </c>
      <c r="E865" s="200" t="s">
        <v>674</v>
      </c>
      <c r="F865" s="202"/>
      <c r="G865" s="74">
        <f>G866</f>
        <v>2638.5</v>
      </c>
    </row>
    <row r="866" spans="1:7" ht="15.75">
      <c r="A866" s="110" t="s">
        <v>107</v>
      </c>
      <c r="B866" s="107"/>
      <c r="C866" s="174" t="s">
        <v>180</v>
      </c>
      <c r="D866" s="174" t="s">
        <v>146</v>
      </c>
      <c r="E866" s="200" t="s">
        <v>674</v>
      </c>
      <c r="F866" s="202" t="s">
        <v>100</v>
      </c>
      <c r="G866" s="74">
        <f>G867</f>
        <v>2638.5</v>
      </c>
    </row>
    <row r="867" spans="1:17" ht="15.75">
      <c r="A867" s="110" t="s">
        <v>242</v>
      </c>
      <c r="B867" s="113"/>
      <c r="C867" s="174" t="s">
        <v>180</v>
      </c>
      <c r="D867" s="174" t="s">
        <v>146</v>
      </c>
      <c r="E867" s="200" t="s">
        <v>674</v>
      </c>
      <c r="F867" s="202" t="s">
        <v>243</v>
      </c>
      <c r="G867" s="74">
        <v>2638.5</v>
      </c>
      <c r="Q867" s="69"/>
    </row>
    <row r="868" spans="1:7" ht="15.75">
      <c r="A868" s="106" t="s">
        <v>210</v>
      </c>
      <c r="B868" s="111"/>
      <c r="C868" s="173" t="s">
        <v>196</v>
      </c>
      <c r="D868" s="174"/>
      <c r="E868" s="200"/>
      <c r="F868" s="202"/>
      <c r="G868" s="78">
        <f>G869</f>
        <v>14200.342</v>
      </c>
    </row>
    <row r="869" spans="1:7" ht="15.75">
      <c r="A869" s="134" t="s">
        <v>160</v>
      </c>
      <c r="B869" s="107"/>
      <c r="C869" s="173" t="s">
        <v>196</v>
      </c>
      <c r="D869" s="173" t="s">
        <v>194</v>
      </c>
      <c r="E869" s="201"/>
      <c r="F869" s="203"/>
      <c r="G869" s="78">
        <f>G870</f>
        <v>14200.342</v>
      </c>
    </row>
    <row r="870" spans="1:17" ht="15.75">
      <c r="A870" s="114" t="s">
        <v>19</v>
      </c>
      <c r="B870" s="107"/>
      <c r="C870" s="173" t="s">
        <v>196</v>
      </c>
      <c r="D870" s="173" t="s">
        <v>194</v>
      </c>
      <c r="E870" s="201" t="s">
        <v>17</v>
      </c>
      <c r="F870" s="203"/>
      <c r="G870" s="78">
        <f>G871+G874</f>
        <v>14200.342</v>
      </c>
      <c r="Q870" s="69"/>
    </row>
    <row r="871" spans="1:7" ht="38.25">
      <c r="A871" s="193" t="s">
        <v>271</v>
      </c>
      <c r="B871" s="111"/>
      <c r="C871" s="174" t="s">
        <v>196</v>
      </c>
      <c r="D871" s="174" t="s">
        <v>194</v>
      </c>
      <c r="E871" s="200" t="s">
        <v>18</v>
      </c>
      <c r="F871" s="202"/>
      <c r="G871" s="74">
        <f>G873</f>
        <v>8026.7</v>
      </c>
    </row>
    <row r="872" spans="1:7" ht="15.75">
      <c r="A872" s="110" t="s">
        <v>264</v>
      </c>
      <c r="B872" s="111"/>
      <c r="C872" s="174" t="s">
        <v>196</v>
      </c>
      <c r="D872" s="174" t="s">
        <v>194</v>
      </c>
      <c r="E872" s="200" t="s">
        <v>18</v>
      </c>
      <c r="F872" s="202" t="s">
        <v>216</v>
      </c>
      <c r="G872" s="74">
        <f>G873</f>
        <v>8026.7</v>
      </c>
    </row>
    <row r="873" spans="1:7" ht="15.75">
      <c r="A873" s="110" t="s">
        <v>217</v>
      </c>
      <c r="B873" s="111"/>
      <c r="C873" s="174" t="s">
        <v>196</v>
      </c>
      <c r="D873" s="174" t="s">
        <v>194</v>
      </c>
      <c r="E873" s="200" t="s">
        <v>18</v>
      </c>
      <c r="F873" s="202" t="s">
        <v>215</v>
      </c>
      <c r="G873" s="74">
        <v>8026.7</v>
      </c>
    </row>
    <row r="874" spans="1:7" ht="51">
      <c r="A874" s="112" t="s">
        <v>331</v>
      </c>
      <c r="B874" s="111"/>
      <c r="C874" s="174" t="s">
        <v>196</v>
      </c>
      <c r="D874" s="174" t="s">
        <v>194</v>
      </c>
      <c r="E874" s="200" t="s">
        <v>399</v>
      </c>
      <c r="F874" s="202"/>
      <c r="G874" s="74">
        <f>G876+G878</f>
        <v>6173.642</v>
      </c>
    </row>
    <row r="875" spans="1:7" ht="15.75">
      <c r="A875" s="110" t="s">
        <v>264</v>
      </c>
      <c r="B875" s="111"/>
      <c r="C875" s="174" t="s">
        <v>196</v>
      </c>
      <c r="D875" s="174" t="s">
        <v>194</v>
      </c>
      <c r="E875" s="200" t="s">
        <v>399</v>
      </c>
      <c r="F875" s="202" t="s">
        <v>216</v>
      </c>
      <c r="G875" s="74">
        <f>G876</f>
        <v>1146.842</v>
      </c>
    </row>
    <row r="876" spans="1:7" ht="15.75">
      <c r="A876" s="110" t="s">
        <v>217</v>
      </c>
      <c r="B876" s="111"/>
      <c r="C876" s="174" t="s">
        <v>196</v>
      </c>
      <c r="D876" s="174" t="s">
        <v>194</v>
      </c>
      <c r="E876" s="200" t="s">
        <v>399</v>
      </c>
      <c r="F876" s="202" t="s">
        <v>215</v>
      </c>
      <c r="G876" s="74">
        <v>1146.842</v>
      </c>
    </row>
    <row r="877" spans="1:7" ht="15.75">
      <c r="A877" s="112" t="s">
        <v>203</v>
      </c>
      <c r="B877" s="111"/>
      <c r="C877" s="174" t="s">
        <v>196</v>
      </c>
      <c r="D877" s="174" t="s">
        <v>194</v>
      </c>
      <c r="E877" s="200" t="s">
        <v>399</v>
      </c>
      <c r="F877" s="202" t="s">
        <v>204</v>
      </c>
      <c r="G877" s="74">
        <f>G878</f>
        <v>5026.8</v>
      </c>
    </row>
    <row r="878" spans="1:7" ht="15.75">
      <c r="A878" s="112" t="s">
        <v>219</v>
      </c>
      <c r="B878" s="111"/>
      <c r="C878" s="174" t="s">
        <v>196</v>
      </c>
      <c r="D878" s="174" t="s">
        <v>194</v>
      </c>
      <c r="E878" s="200" t="s">
        <v>399</v>
      </c>
      <c r="F878" s="202" t="s">
        <v>218</v>
      </c>
      <c r="G878" s="74">
        <v>5026.8</v>
      </c>
    </row>
    <row r="879" spans="1:7" ht="15.75">
      <c r="A879" s="106" t="s">
        <v>167</v>
      </c>
      <c r="B879" s="111"/>
      <c r="C879" s="173" t="s">
        <v>198</v>
      </c>
      <c r="D879" s="215" t="s">
        <v>201</v>
      </c>
      <c r="E879" s="214" t="s">
        <v>201</v>
      </c>
      <c r="F879" s="215" t="s">
        <v>201</v>
      </c>
      <c r="G879" s="78">
        <f>G880+G890+G898+G909</f>
        <v>36069</v>
      </c>
    </row>
    <row r="880" spans="1:7" ht="15.75">
      <c r="A880" s="134" t="s">
        <v>241</v>
      </c>
      <c r="B880" s="107"/>
      <c r="C880" s="173" t="s">
        <v>198</v>
      </c>
      <c r="D880" s="173" t="s">
        <v>180</v>
      </c>
      <c r="E880" s="201"/>
      <c r="F880" s="203"/>
      <c r="G880" s="78">
        <f>G882+G886</f>
        <v>1333</v>
      </c>
    </row>
    <row r="881" spans="1:7" ht="15.75">
      <c r="A881" s="134" t="s">
        <v>286</v>
      </c>
      <c r="B881" s="115"/>
      <c r="C881" s="173" t="s">
        <v>198</v>
      </c>
      <c r="D881" s="173" t="s">
        <v>180</v>
      </c>
      <c r="E881" s="201" t="s">
        <v>0</v>
      </c>
      <c r="F881" s="203"/>
      <c r="G881" s="78">
        <f>G882</f>
        <v>1225</v>
      </c>
    </row>
    <row r="882" spans="1:7" ht="15.75">
      <c r="A882" s="134" t="s">
        <v>284</v>
      </c>
      <c r="B882" s="115"/>
      <c r="C882" s="173" t="s">
        <v>198</v>
      </c>
      <c r="D882" s="173" t="s">
        <v>180</v>
      </c>
      <c r="E882" s="201" t="s">
        <v>1</v>
      </c>
      <c r="F882" s="203"/>
      <c r="G882" s="78">
        <f>G883</f>
        <v>1225</v>
      </c>
    </row>
    <row r="883" spans="1:7" ht="15.75">
      <c r="A883" s="112" t="s">
        <v>586</v>
      </c>
      <c r="B883" s="113"/>
      <c r="C883" s="174" t="s">
        <v>198</v>
      </c>
      <c r="D883" s="174" t="s">
        <v>180</v>
      </c>
      <c r="E883" s="200" t="s">
        <v>2</v>
      </c>
      <c r="F883" s="202"/>
      <c r="G883" s="74">
        <f>G884</f>
        <v>1225</v>
      </c>
    </row>
    <row r="884" spans="1:7" ht="15.75">
      <c r="A884" s="110" t="s">
        <v>264</v>
      </c>
      <c r="B884" s="113"/>
      <c r="C884" s="174" t="s">
        <v>198</v>
      </c>
      <c r="D884" s="174" t="s">
        <v>180</v>
      </c>
      <c r="E884" s="200" t="s">
        <v>2</v>
      </c>
      <c r="F884" s="202" t="s">
        <v>216</v>
      </c>
      <c r="G884" s="74">
        <f>G885</f>
        <v>1225</v>
      </c>
    </row>
    <row r="885" spans="1:7" ht="15.75">
      <c r="A885" s="136" t="s">
        <v>217</v>
      </c>
      <c r="B885" s="113"/>
      <c r="C885" s="174" t="s">
        <v>198</v>
      </c>
      <c r="D885" s="174" t="s">
        <v>180</v>
      </c>
      <c r="E885" s="200" t="s">
        <v>2</v>
      </c>
      <c r="F885" s="202" t="s">
        <v>215</v>
      </c>
      <c r="G885" s="74">
        <v>1225</v>
      </c>
    </row>
    <row r="886" spans="1:7" ht="15.75">
      <c r="A886" s="134" t="s">
        <v>409</v>
      </c>
      <c r="B886" s="115"/>
      <c r="C886" s="173" t="s">
        <v>198</v>
      </c>
      <c r="D886" s="173" t="s">
        <v>180</v>
      </c>
      <c r="E886" s="201" t="s">
        <v>303</v>
      </c>
      <c r="F886" s="203"/>
      <c r="G886" s="78">
        <f>G887</f>
        <v>108</v>
      </c>
    </row>
    <row r="887" spans="1:7" ht="15.75">
      <c r="A887" s="112" t="s">
        <v>288</v>
      </c>
      <c r="B887" s="113"/>
      <c r="C887" s="174" t="s">
        <v>198</v>
      </c>
      <c r="D887" s="174" t="s">
        <v>180</v>
      </c>
      <c r="E887" s="200" t="s">
        <v>461</v>
      </c>
      <c r="F887" s="202"/>
      <c r="G887" s="74">
        <f>G888</f>
        <v>108</v>
      </c>
    </row>
    <row r="888" spans="1:7" ht="15.75">
      <c r="A888" s="112" t="s">
        <v>107</v>
      </c>
      <c r="B888" s="113"/>
      <c r="C888" s="174" t="s">
        <v>198</v>
      </c>
      <c r="D888" s="174" t="s">
        <v>180</v>
      </c>
      <c r="E888" s="200" t="s">
        <v>461</v>
      </c>
      <c r="F888" s="202" t="s">
        <v>100</v>
      </c>
      <c r="G888" s="74">
        <f>G889</f>
        <v>108</v>
      </c>
    </row>
    <row r="889" spans="1:7" ht="15.75">
      <c r="A889" s="187" t="s">
        <v>242</v>
      </c>
      <c r="B889" s="113"/>
      <c r="C889" s="174" t="s">
        <v>198</v>
      </c>
      <c r="D889" s="174" t="s">
        <v>180</v>
      </c>
      <c r="E889" s="200" t="s">
        <v>461</v>
      </c>
      <c r="F889" s="202" t="s">
        <v>243</v>
      </c>
      <c r="G889" s="74">
        <v>108</v>
      </c>
    </row>
    <row r="890" spans="1:7" ht="15.75">
      <c r="A890" s="134" t="s">
        <v>516</v>
      </c>
      <c r="B890" s="107"/>
      <c r="C890" s="173" t="s">
        <v>198</v>
      </c>
      <c r="D890" s="173" t="s">
        <v>197</v>
      </c>
      <c r="E890" s="201"/>
      <c r="F890" s="203"/>
      <c r="G890" s="78">
        <f>G891</f>
        <v>6440.6</v>
      </c>
    </row>
    <row r="891" spans="1:7" ht="15.75">
      <c r="A891" s="125" t="s">
        <v>301</v>
      </c>
      <c r="B891" s="107"/>
      <c r="C891" s="173" t="s">
        <v>198</v>
      </c>
      <c r="D891" s="173" t="s">
        <v>197</v>
      </c>
      <c r="E891" s="201" t="s">
        <v>7</v>
      </c>
      <c r="F891" s="203"/>
      <c r="G891" s="78">
        <f>G895+G892</f>
        <v>6440.6</v>
      </c>
    </row>
    <row r="892" spans="1:7" ht="25.5">
      <c r="A892" s="112" t="s">
        <v>609</v>
      </c>
      <c r="B892" s="111"/>
      <c r="C892" s="174" t="s">
        <v>198</v>
      </c>
      <c r="D892" s="174" t="s">
        <v>197</v>
      </c>
      <c r="E892" s="200" t="s">
        <v>608</v>
      </c>
      <c r="F892" s="202"/>
      <c r="G892" s="74">
        <f>G893</f>
        <v>2670.6</v>
      </c>
    </row>
    <row r="893" spans="1:7" ht="15.75">
      <c r="A893" s="128" t="s">
        <v>265</v>
      </c>
      <c r="B893" s="111"/>
      <c r="C893" s="174" t="s">
        <v>198</v>
      </c>
      <c r="D893" s="174" t="s">
        <v>197</v>
      </c>
      <c r="E893" s="200" t="s">
        <v>608</v>
      </c>
      <c r="F893" s="202" t="s">
        <v>229</v>
      </c>
      <c r="G893" s="74">
        <f>G894</f>
        <v>2670.6</v>
      </c>
    </row>
    <row r="894" spans="1:7" ht="15.75">
      <c r="A894" s="187" t="s">
        <v>207</v>
      </c>
      <c r="B894" s="111"/>
      <c r="C894" s="174" t="s">
        <v>198</v>
      </c>
      <c r="D894" s="174" t="s">
        <v>197</v>
      </c>
      <c r="E894" s="200" t="s">
        <v>608</v>
      </c>
      <c r="F894" s="202" t="s">
        <v>230</v>
      </c>
      <c r="G894" s="103">
        <v>2670.6</v>
      </c>
    </row>
    <row r="895" spans="1:7" ht="15.75">
      <c r="A895" s="112" t="s">
        <v>272</v>
      </c>
      <c r="B895" s="111"/>
      <c r="C895" s="174" t="s">
        <v>198</v>
      </c>
      <c r="D895" s="174" t="s">
        <v>197</v>
      </c>
      <c r="E895" s="200" t="s">
        <v>302</v>
      </c>
      <c r="F895" s="202"/>
      <c r="G895" s="74">
        <f>G896</f>
        <v>3770</v>
      </c>
    </row>
    <row r="896" spans="1:7" ht="15.75">
      <c r="A896" s="110" t="s">
        <v>264</v>
      </c>
      <c r="B896" s="111"/>
      <c r="C896" s="174" t="s">
        <v>198</v>
      </c>
      <c r="D896" s="174" t="s">
        <v>197</v>
      </c>
      <c r="E896" s="200" t="s">
        <v>302</v>
      </c>
      <c r="F896" s="202" t="s">
        <v>216</v>
      </c>
      <c r="G896" s="74">
        <f>G897</f>
        <v>3770</v>
      </c>
    </row>
    <row r="897" spans="1:7" ht="15.75">
      <c r="A897" s="136" t="s">
        <v>217</v>
      </c>
      <c r="B897" s="111"/>
      <c r="C897" s="174" t="s">
        <v>198</v>
      </c>
      <c r="D897" s="174" t="s">
        <v>197</v>
      </c>
      <c r="E897" s="200" t="s">
        <v>302</v>
      </c>
      <c r="F897" s="202" t="s">
        <v>215</v>
      </c>
      <c r="G897" s="103">
        <v>3770</v>
      </c>
    </row>
    <row r="898" spans="1:7" ht="15.75">
      <c r="A898" s="194" t="s">
        <v>9</v>
      </c>
      <c r="B898" s="195"/>
      <c r="C898" s="232" t="s">
        <v>198</v>
      </c>
      <c r="D898" s="232" t="s">
        <v>181</v>
      </c>
      <c r="E898" s="244"/>
      <c r="F898" s="245"/>
      <c r="G898" s="100">
        <f>G899</f>
        <v>1347</v>
      </c>
    </row>
    <row r="899" spans="1:7" ht="15.75">
      <c r="A899" s="114" t="s">
        <v>267</v>
      </c>
      <c r="B899" s="107"/>
      <c r="C899" s="173" t="s">
        <v>198</v>
      </c>
      <c r="D899" s="173" t="s">
        <v>181</v>
      </c>
      <c r="E899" s="201" t="s">
        <v>20</v>
      </c>
      <c r="F899" s="203"/>
      <c r="G899" s="78">
        <f>G905+G900+G906</f>
        <v>1347</v>
      </c>
    </row>
    <row r="900" spans="1:7" ht="15.75">
      <c r="A900" s="112" t="s">
        <v>490</v>
      </c>
      <c r="B900" s="107"/>
      <c r="C900" s="174" t="s">
        <v>198</v>
      </c>
      <c r="D900" s="174" t="s">
        <v>181</v>
      </c>
      <c r="E900" s="200" t="s">
        <v>641</v>
      </c>
      <c r="F900" s="202"/>
      <c r="G900" s="74">
        <f>G901</f>
        <v>279.3</v>
      </c>
    </row>
    <row r="901" spans="1:7" ht="15.75">
      <c r="A901" s="110" t="s">
        <v>264</v>
      </c>
      <c r="B901" s="107"/>
      <c r="C901" s="174" t="s">
        <v>198</v>
      </c>
      <c r="D901" s="174" t="s">
        <v>181</v>
      </c>
      <c r="E901" s="200" t="s">
        <v>641</v>
      </c>
      <c r="F901" s="202" t="s">
        <v>216</v>
      </c>
      <c r="G901" s="74">
        <f>G902</f>
        <v>279.3</v>
      </c>
    </row>
    <row r="902" spans="1:7" ht="15.75">
      <c r="A902" s="110" t="s">
        <v>217</v>
      </c>
      <c r="B902" s="107"/>
      <c r="C902" s="174" t="s">
        <v>198</v>
      </c>
      <c r="D902" s="174" t="s">
        <v>181</v>
      </c>
      <c r="E902" s="200" t="s">
        <v>641</v>
      </c>
      <c r="F902" s="202" t="s">
        <v>215</v>
      </c>
      <c r="G902" s="74">
        <v>279.3</v>
      </c>
    </row>
    <row r="903" spans="1:7" ht="15.75">
      <c r="A903" s="112" t="s">
        <v>8</v>
      </c>
      <c r="B903" s="107"/>
      <c r="C903" s="174" t="s">
        <v>198</v>
      </c>
      <c r="D903" s="174" t="s">
        <v>181</v>
      </c>
      <c r="E903" s="200" t="s">
        <v>476</v>
      </c>
      <c r="F903" s="202"/>
      <c r="G903" s="74">
        <f>G904</f>
        <v>267.7</v>
      </c>
    </row>
    <row r="904" spans="1:7" ht="15.75">
      <c r="A904" s="110" t="s">
        <v>264</v>
      </c>
      <c r="B904" s="107"/>
      <c r="C904" s="174" t="s">
        <v>198</v>
      </c>
      <c r="D904" s="174" t="s">
        <v>181</v>
      </c>
      <c r="E904" s="200" t="s">
        <v>476</v>
      </c>
      <c r="F904" s="202" t="s">
        <v>216</v>
      </c>
      <c r="G904" s="74">
        <f>G905</f>
        <v>267.7</v>
      </c>
    </row>
    <row r="905" spans="1:7" ht="15.75">
      <c r="A905" s="110" t="s">
        <v>217</v>
      </c>
      <c r="B905" s="107"/>
      <c r="C905" s="174" t="s">
        <v>198</v>
      </c>
      <c r="D905" s="174" t="s">
        <v>181</v>
      </c>
      <c r="E905" s="200" t="s">
        <v>476</v>
      </c>
      <c r="F905" s="202" t="s">
        <v>215</v>
      </c>
      <c r="G905" s="74">
        <f>200-100+167.7</f>
        <v>267.7</v>
      </c>
    </row>
    <row r="906" spans="1:7" ht="15.75">
      <c r="A906" s="112" t="s">
        <v>643</v>
      </c>
      <c r="B906" s="107"/>
      <c r="C906" s="174" t="s">
        <v>198</v>
      </c>
      <c r="D906" s="174" t="s">
        <v>181</v>
      </c>
      <c r="E906" s="200" t="s">
        <v>642</v>
      </c>
      <c r="F906" s="202"/>
      <c r="G906" s="74">
        <f>G907</f>
        <v>800</v>
      </c>
    </row>
    <row r="907" spans="1:7" ht="15.75">
      <c r="A907" s="110" t="s">
        <v>264</v>
      </c>
      <c r="B907" s="107"/>
      <c r="C907" s="174" t="s">
        <v>198</v>
      </c>
      <c r="D907" s="174" t="s">
        <v>181</v>
      </c>
      <c r="E907" s="200" t="s">
        <v>642</v>
      </c>
      <c r="F907" s="202" t="s">
        <v>216</v>
      </c>
      <c r="G907" s="74">
        <f>G908</f>
        <v>800</v>
      </c>
    </row>
    <row r="908" spans="1:7" ht="15.75">
      <c r="A908" s="110" t="s">
        <v>217</v>
      </c>
      <c r="B908" s="107"/>
      <c r="C908" s="174" t="s">
        <v>198</v>
      </c>
      <c r="D908" s="174" t="s">
        <v>181</v>
      </c>
      <c r="E908" s="200" t="s">
        <v>642</v>
      </c>
      <c r="F908" s="202" t="s">
        <v>215</v>
      </c>
      <c r="G908" s="74">
        <f>750+50</f>
        <v>800</v>
      </c>
    </row>
    <row r="909" spans="1:7" ht="15.75">
      <c r="A909" s="194" t="s">
        <v>411</v>
      </c>
      <c r="B909" s="195"/>
      <c r="C909" s="232" t="s">
        <v>198</v>
      </c>
      <c r="D909" s="232" t="s">
        <v>198</v>
      </c>
      <c r="E909" s="244"/>
      <c r="F909" s="245"/>
      <c r="G909" s="100">
        <f>G914+G910</f>
        <v>26948.399999999998</v>
      </c>
    </row>
    <row r="910" spans="1:7" ht="15.75">
      <c r="A910" s="106" t="s">
        <v>420</v>
      </c>
      <c r="B910" s="107"/>
      <c r="C910" s="173" t="s">
        <v>198</v>
      </c>
      <c r="D910" s="173" t="s">
        <v>198</v>
      </c>
      <c r="E910" s="201" t="s">
        <v>419</v>
      </c>
      <c r="F910" s="203"/>
      <c r="G910" s="78">
        <f>G913</f>
        <v>8514.3</v>
      </c>
    </row>
    <row r="911" spans="1:7" ht="25.5">
      <c r="A911" s="117" t="s">
        <v>421</v>
      </c>
      <c r="B911" s="111"/>
      <c r="C911" s="174" t="s">
        <v>198</v>
      </c>
      <c r="D911" s="174" t="s">
        <v>198</v>
      </c>
      <c r="E911" s="200" t="s">
        <v>422</v>
      </c>
      <c r="F911" s="202"/>
      <c r="G911" s="74">
        <f>G912</f>
        <v>8514.3</v>
      </c>
    </row>
    <row r="912" spans="1:7" ht="15.75">
      <c r="A912" s="112" t="s">
        <v>203</v>
      </c>
      <c r="B912" s="107"/>
      <c r="C912" s="174" t="s">
        <v>198</v>
      </c>
      <c r="D912" s="174" t="s">
        <v>198</v>
      </c>
      <c r="E912" s="200" t="s">
        <v>422</v>
      </c>
      <c r="F912" s="202" t="s">
        <v>204</v>
      </c>
      <c r="G912" s="74">
        <f>G913</f>
        <v>8514.3</v>
      </c>
    </row>
    <row r="913" spans="1:7" ht="15.75">
      <c r="A913" s="112" t="s">
        <v>234</v>
      </c>
      <c r="B913" s="107"/>
      <c r="C913" s="174" t="s">
        <v>198</v>
      </c>
      <c r="D913" s="174" t="s">
        <v>198</v>
      </c>
      <c r="E913" s="200" t="s">
        <v>422</v>
      </c>
      <c r="F913" s="202" t="s">
        <v>233</v>
      </c>
      <c r="G913" s="74">
        <v>8514.3</v>
      </c>
    </row>
    <row r="914" spans="1:7" ht="15.75">
      <c r="A914" s="106" t="s">
        <v>322</v>
      </c>
      <c r="B914" s="107"/>
      <c r="C914" s="173" t="s">
        <v>198</v>
      </c>
      <c r="D914" s="173" t="s">
        <v>198</v>
      </c>
      <c r="E914" s="201" t="s">
        <v>412</v>
      </c>
      <c r="F914" s="203"/>
      <c r="G914" s="78">
        <f>G915</f>
        <v>18434.1</v>
      </c>
    </row>
    <row r="915" spans="1:7" ht="15.75">
      <c r="A915" s="114" t="s">
        <v>354</v>
      </c>
      <c r="B915" s="107"/>
      <c r="C915" s="173" t="s">
        <v>198</v>
      </c>
      <c r="D915" s="173" t="s">
        <v>198</v>
      </c>
      <c r="E915" s="201" t="s">
        <v>341</v>
      </c>
      <c r="F915" s="203"/>
      <c r="G915" s="78">
        <f>G916+G919</f>
        <v>18434.1</v>
      </c>
    </row>
    <row r="916" spans="1:7" ht="15.75">
      <c r="A916" s="112" t="s">
        <v>343</v>
      </c>
      <c r="B916" s="137"/>
      <c r="C916" s="174" t="s">
        <v>198</v>
      </c>
      <c r="D916" s="174" t="s">
        <v>198</v>
      </c>
      <c r="E916" s="200" t="s">
        <v>342</v>
      </c>
      <c r="F916" s="202"/>
      <c r="G916" s="74">
        <f>G917</f>
        <v>13496.5</v>
      </c>
    </row>
    <row r="917" spans="1:7" ht="15.75">
      <c r="A917" s="128" t="s">
        <v>265</v>
      </c>
      <c r="B917" s="107"/>
      <c r="C917" s="174" t="s">
        <v>198</v>
      </c>
      <c r="D917" s="174" t="s">
        <v>198</v>
      </c>
      <c r="E917" s="200" t="s">
        <v>342</v>
      </c>
      <c r="F917" s="202" t="s">
        <v>229</v>
      </c>
      <c r="G917" s="74">
        <f>G918</f>
        <v>13496.5</v>
      </c>
    </row>
    <row r="918" spans="1:7" ht="15.75">
      <c r="A918" s="187" t="s">
        <v>207</v>
      </c>
      <c r="B918" s="107"/>
      <c r="C918" s="174" t="s">
        <v>198</v>
      </c>
      <c r="D918" s="174" t="s">
        <v>198</v>
      </c>
      <c r="E918" s="200" t="s">
        <v>342</v>
      </c>
      <c r="F918" s="202" t="s">
        <v>230</v>
      </c>
      <c r="G918" s="74">
        <f>13976.5-480</f>
        <v>13496.5</v>
      </c>
    </row>
    <row r="919" spans="1:7" ht="25.5">
      <c r="A919" s="112" t="s">
        <v>606</v>
      </c>
      <c r="B919" s="137"/>
      <c r="C919" s="174" t="s">
        <v>198</v>
      </c>
      <c r="D919" s="174" t="s">
        <v>198</v>
      </c>
      <c r="E919" s="200" t="s">
        <v>610</v>
      </c>
      <c r="F919" s="202"/>
      <c r="G919" s="74">
        <f>G920</f>
        <v>4937.6</v>
      </c>
    </row>
    <row r="920" spans="1:7" ht="15.75">
      <c r="A920" s="128" t="s">
        <v>265</v>
      </c>
      <c r="B920" s="107"/>
      <c r="C920" s="174" t="s">
        <v>198</v>
      </c>
      <c r="D920" s="174" t="s">
        <v>198</v>
      </c>
      <c r="E920" s="200" t="s">
        <v>610</v>
      </c>
      <c r="F920" s="202" t="s">
        <v>229</v>
      </c>
      <c r="G920" s="74">
        <f>G921</f>
        <v>4937.6</v>
      </c>
    </row>
    <row r="921" spans="1:7" ht="15.75">
      <c r="A921" s="187" t="s">
        <v>207</v>
      </c>
      <c r="B921" s="107"/>
      <c r="C921" s="174" t="s">
        <v>198</v>
      </c>
      <c r="D921" s="174" t="s">
        <v>198</v>
      </c>
      <c r="E921" s="200" t="s">
        <v>610</v>
      </c>
      <c r="F921" s="202" t="s">
        <v>230</v>
      </c>
      <c r="G921" s="74">
        <v>4937.6</v>
      </c>
    </row>
    <row r="922" spans="1:7" ht="15.75">
      <c r="A922" s="106" t="s">
        <v>192</v>
      </c>
      <c r="B922" s="111"/>
      <c r="C922" s="173" t="s">
        <v>152</v>
      </c>
      <c r="D922" s="215" t="s">
        <v>201</v>
      </c>
      <c r="E922" s="214" t="s">
        <v>201</v>
      </c>
      <c r="F922" s="215" t="s">
        <v>201</v>
      </c>
      <c r="G922" s="78">
        <f aca="true" t="shared" si="7" ref="G922:G929">G923</f>
        <v>152072.6</v>
      </c>
    </row>
    <row r="923" spans="1:7" ht="15.75">
      <c r="A923" s="145" t="s">
        <v>193</v>
      </c>
      <c r="B923" s="107"/>
      <c r="C923" s="173" t="s">
        <v>152</v>
      </c>
      <c r="D923" s="173" t="s">
        <v>197</v>
      </c>
      <c r="E923" s="201"/>
      <c r="F923" s="203"/>
      <c r="G923" s="78">
        <f>G924+G931</f>
        <v>152072.6</v>
      </c>
    </row>
    <row r="924" spans="1:7" ht="15.75">
      <c r="A924" s="134" t="s">
        <v>409</v>
      </c>
      <c r="B924" s="115"/>
      <c r="C924" s="173" t="s">
        <v>152</v>
      </c>
      <c r="D924" s="173" t="s">
        <v>197</v>
      </c>
      <c r="E924" s="201" t="s">
        <v>303</v>
      </c>
      <c r="F924" s="203"/>
      <c r="G924" s="78">
        <f>G925+G928</f>
        <v>1400.6</v>
      </c>
    </row>
    <row r="925" spans="1:7" ht="25.5">
      <c r="A925" s="144" t="s">
        <v>614</v>
      </c>
      <c r="B925" s="113"/>
      <c r="C925" s="174" t="s">
        <v>152</v>
      </c>
      <c r="D925" s="174" t="s">
        <v>197</v>
      </c>
      <c r="E925" s="200" t="s">
        <v>613</v>
      </c>
      <c r="F925" s="202"/>
      <c r="G925" s="74">
        <f t="shared" si="7"/>
        <v>1250.6</v>
      </c>
    </row>
    <row r="926" spans="1:7" ht="15.75">
      <c r="A926" s="128" t="s">
        <v>265</v>
      </c>
      <c r="B926" s="113"/>
      <c r="C926" s="174" t="s">
        <v>152</v>
      </c>
      <c r="D926" s="174" t="s">
        <v>197</v>
      </c>
      <c r="E926" s="200" t="s">
        <v>613</v>
      </c>
      <c r="F926" s="202" t="s">
        <v>229</v>
      </c>
      <c r="G926" s="74">
        <f t="shared" si="7"/>
        <v>1250.6</v>
      </c>
    </row>
    <row r="927" spans="1:7" ht="15.75">
      <c r="A927" s="187" t="s">
        <v>207</v>
      </c>
      <c r="B927" s="113"/>
      <c r="C927" s="174" t="s">
        <v>152</v>
      </c>
      <c r="D927" s="174" t="s">
        <v>197</v>
      </c>
      <c r="E927" s="200" t="s">
        <v>613</v>
      </c>
      <c r="F927" s="202" t="s">
        <v>230</v>
      </c>
      <c r="G927" s="74">
        <f>752.6+218+280</f>
        <v>1250.6</v>
      </c>
    </row>
    <row r="928" spans="1:7" ht="15.75">
      <c r="A928" s="144" t="s">
        <v>463</v>
      </c>
      <c r="B928" s="113"/>
      <c r="C928" s="174" t="s">
        <v>152</v>
      </c>
      <c r="D928" s="174" t="s">
        <v>197</v>
      </c>
      <c r="E928" s="200" t="s">
        <v>462</v>
      </c>
      <c r="F928" s="202"/>
      <c r="G928" s="74">
        <f t="shared" si="7"/>
        <v>150</v>
      </c>
    </row>
    <row r="929" spans="1:7" ht="15.75">
      <c r="A929" s="128" t="s">
        <v>265</v>
      </c>
      <c r="B929" s="113"/>
      <c r="C929" s="174" t="s">
        <v>152</v>
      </c>
      <c r="D929" s="174" t="s">
        <v>197</v>
      </c>
      <c r="E929" s="200" t="s">
        <v>462</v>
      </c>
      <c r="F929" s="202" t="s">
        <v>229</v>
      </c>
      <c r="G929" s="74">
        <f t="shared" si="7"/>
        <v>150</v>
      </c>
    </row>
    <row r="930" spans="1:7" ht="15.75">
      <c r="A930" s="187" t="s">
        <v>207</v>
      </c>
      <c r="B930" s="113"/>
      <c r="C930" s="174" t="s">
        <v>152</v>
      </c>
      <c r="D930" s="174" t="s">
        <v>197</v>
      </c>
      <c r="E930" s="200" t="s">
        <v>462</v>
      </c>
      <c r="F930" s="202" t="s">
        <v>230</v>
      </c>
      <c r="G930" s="74">
        <f>1542-173-400-50-100-774+105</f>
        <v>150</v>
      </c>
    </row>
    <row r="931" spans="1:7" ht="15.75">
      <c r="A931" s="106" t="s">
        <v>322</v>
      </c>
      <c r="B931" s="107"/>
      <c r="C931" s="173" t="s">
        <v>152</v>
      </c>
      <c r="D931" s="173" t="s">
        <v>197</v>
      </c>
      <c r="E931" s="201" t="s">
        <v>412</v>
      </c>
      <c r="F931" s="203"/>
      <c r="G931" s="78">
        <f>G932</f>
        <v>150672</v>
      </c>
    </row>
    <row r="932" spans="1:7" ht="15.75">
      <c r="A932" s="114" t="s">
        <v>355</v>
      </c>
      <c r="B932" s="107"/>
      <c r="C932" s="173" t="s">
        <v>152</v>
      </c>
      <c r="D932" s="173" t="s">
        <v>197</v>
      </c>
      <c r="E932" s="201" t="s">
        <v>344</v>
      </c>
      <c r="F932" s="203"/>
      <c r="G932" s="78">
        <f>G936+G933</f>
        <v>150672</v>
      </c>
    </row>
    <row r="933" spans="1:7" ht="38.25">
      <c r="A933" s="112" t="s">
        <v>702</v>
      </c>
      <c r="B933" s="137"/>
      <c r="C933" s="174" t="s">
        <v>152</v>
      </c>
      <c r="D933" s="174" t="s">
        <v>197</v>
      </c>
      <c r="E933" s="200" t="s">
        <v>701</v>
      </c>
      <c r="F933" s="202"/>
      <c r="G933" s="74">
        <f>G934</f>
        <v>24005.9</v>
      </c>
    </row>
    <row r="934" spans="1:7" ht="15.75">
      <c r="A934" s="128" t="s">
        <v>265</v>
      </c>
      <c r="B934" s="107"/>
      <c r="C934" s="174" t="s">
        <v>152</v>
      </c>
      <c r="D934" s="174" t="s">
        <v>197</v>
      </c>
      <c r="E934" s="200" t="s">
        <v>701</v>
      </c>
      <c r="F934" s="202" t="s">
        <v>229</v>
      </c>
      <c r="G934" s="74">
        <f>G935</f>
        <v>24005.9</v>
      </c>
    </row>
    <row r="935" spans="1:7" ht="15.75">
      <c r="A935" s="187" t="s">
        <v>207</v>
      </c>
      <c r="B935" s="107"/>
      <c r="C935" s="174" t="s">
        <v>152</v>
      </c>
      <c r="D935" s="174" t="s">
        <v>197</v>
      </c>
      <c r="E935" s="200" t="s">
        <v>701</v>
      </c>
      <c r="F935" s="202" t="s">
        <v>230</v>
      </c>
      <c r="G935" s="74">
        <v>24005.9</v>
      </c>
    </row>
    <row r="936" spans="1:7" ht="25.5">
      <c r="A936" s="112" t="s">
        <v>606</v>
      </c>
      <c r="B936" s="137"/>
      <c r="C936" s="174" t="s">
        <v>152</v>
      </c>
      <c r="D936" s="174" t="s">
        <v>197</v>
      </c>
      <c r="E936" s="200" t="s">
        <v>605</v>
      </c>
      <c r="F936" s="202"/>
      <c r="G936" s="74">
        <f>G937</f>
        <v>126666.09999999999</v>
      </c>
    </row>
    <row r="937" spans="1:7" ht="15.75">
      <c r="A937" s="128" t="s">
        <v>265</v>
      </c>
      <c r="B937" s="107"/>
      <c r="C937" s="174" t="s">
        <v>152</v>
      </c>
      <c r="D937" s="174" t="s">
        <v>197</v>
      </c>
      <c r="E937" s="200" t="s">
        <v>605</v>
      </c>
      <c r="F937" s="202" t="s">
        <v>229</v>
      </c>
      <c r="G937" s="74">
        <f>G938</f>
        <v>126666.09999999999</v>
      </c>
    </row>
    <row r="938" spans="1:7" ht="15.75">
      <c r="A938" s="187" t="s">
        <v>207</v>
      </c>
      <c r="B938" s="107"/>
      <c r="C938" s="174" t="s">
        <v>152</v>
      </c>
      <c r="D938" s="174" t="s">
        <v>197</v>
      </c>
      <c r="E938" s="200" t="s">
        <v>605</v>
      </c>
      <c r="F938" s="202" t="s">
        <v>230</v>
      </c>
      <c r="G938" s="74">
        <f>148271.4-21605.3</f>
        <v>126666.09999999999</v>
      </c>
    </row>
    <row r="939" spans="1:7" ht="15.75">
      <c r="A939" s="106" t="s">
        <v>659</v>
      </c>
      <c r="B939" s="107"/>
      <c r="C939" s="173" t="s">
        <v>150</v>
      </c>
      <c r="D939" s="173"/>
      <c r="E939" s="201"/>
      <c r="F939" s="203"/>
      <c r="G939" s="78">
        <f aca="true" t="shared" si="8" ref="G939:G946">G940</f>
        <v>90000</v>
      </c>
    </row>
    <row r="940" spans="1:7" ht="15.75">
      <c r="A940" s="106" t="s">
        <v>147</v>
      </c>
      <c r="B940" s="107"/>
      <c r="C940" s="173" t="s">
        <v>150</v>
      </c>
      <c r="D940" s="173" t="s">
        <v>181</v>
      </c>
      <c r="E940" s="201"/>
      <c r="F940" s="203"/>
      <c r="G940" s="78">
        <f t="shared" si="8"/>
        <v>90000</v>
      </c>
    </row>
    <row r="941" spans="1:7" ht="15.75">
      <c r="A941" s="145" t="s">
        <v>402</v>
      </c>
      <c r="B941" s="107"/>
      <c r="C941" s="173" t="s">
        <v>150</v>
      </c>
      <c r="D941" s="173" t="s">
        <v>181</v>
      </c>
      <c r="E941" s="201" t="s">
        <v>403</v>
      </c>
      <c r="F941" s="203"/>
      <c r="G941" s="78">
        <f>G942+G945</f>
        <v>90000</v>
      </c>
    </row>
    <row r="942" spans="1:7" ht="38.25">
      <c r="A942" s="144" t="s">
        <v>406</v>
      </c>
      <c r="B942" s="191"/>
      <c r="C942" s="174" t="s">
        <v>150</v>
      </c>
      <c r="D942" s="174" t="s">
        <v>181</v>
      </c>
      <c r="E942" s="200" t="s">
        <v>404</v>
      </c>
      <c r="F942" s="203"/>
      <c r="G942" s="74">
        <f t="shared" si="8"/>
        <v>88200</v>
      </c>
    </row>
    <row r="943" spans="1:7" ht="15.75">
      <c r="A943" s="128" t="s">
        <v>102</v>
      </c>
      <c r="B943" s="192"/>
      <c r="C943" s="174" t="s">
        <v>150</v>
      </c>
      <c r="D943" s="174" t="s">
        <v>181</v>
      </c>
      <c r="E943" s="200" t="s">
        <v>404</v>
      </c>
      <c r="F943" s="202" t="s">
        <v>98</v>
      </c>
      <c r="G943" s="74">
        <f t="shared" si="8"/>
        <v>88200</v>
      </c>
    </row>
    <row r="944" spans="1:7" ht="15.75">
      <c r="A944" s="112" t="s">
        <v>97</v>
      </c>
      <c r="B944" s="192"/>
      <c r="C944" s="174" t="s">
        <v>150</v>
      </c>
      <c r="D944" s="174" t="s">
        <v>181</v>
      </c>
      <c r="E944" s="200" t="s">
        <v>404</v>
      </c>
      <c r="F944" s="202" t="s">
        <v>99</v>
      </c>
      <c r="G944" s="102">
        <v>88200</v>
      </c>
    </row>
    <row r="945" spans="1:7" ht="38.25">
      <c r="A945" s="144" t="s">
        <v>407</v>
      </c>
      <c r="B945" s="191"/>
      <c r="C945" s="174" t="s">
        <v>150</v>
      </c>
      <c r="D945" s="174" t="s">
        <v>181</v>
      </c>
      <c r="E945" s="200" t="s">
        <v>405</v>
      </c>
      <c r="F945" s="203"/>
      <c r="G945" s="74">
        <f t="shared" si="8"/>
        <v>1800</v>
      </c>
    </row>
    <row r="946" spans="1:7" ht="15.75">
      <c r="A946" s="128" t="s">
        <v>102</v>
      </c>
      <c r="B946" s="192"/>
      <c r="C946" s="174" t="s">
        <v>150</v>
      </c>
      <c r="D946" s="174" t="s">
        <v>181</v>
      </c>
      <c r="E946" s="200" t="s">
        <v>405</v>
      </c>
      <c r="F946" s="202" t="s">
        <v>98</v>
      </c>
      <c r="G946" s="74">
        <f t="shared" si="8"/>
        <v>1800</v>
      </c>
    </row>
    <row r="947" spans="1:7" ht="15.75">
      <c r="A947" s="112" t="s">
        <v>97</v>
      </c>
      <c r="B947" s="192"/>
      <c r="C947" s="174" t="s">
        <v>150</v>
      </c>
      <c r="D947" s="174" t="s">
        <v>181</v>
      </c>
      <c r="E947" s="200" t="s">
        <v>405</v>
      </c>
      <c r="F947" s="202" t="s">
        <v>99</v>
      </c>
      <c r="G947" s="102">
        <v>1800</v>
      </c>
    </row>
    <row r="948" spans="1:7" ht="15.75">
      <c r="A948" s="106" t="s">
        <v>186</v>
      </c>
      <c r="B948" s="107"/>
      <c r="C948" s="173" t="s">
        <v>179</v>
      </c>
      <c r="D948" s="173"/>
      <c r="E948" s="201"/>
      <c r="F948" s="203"/>
      <c r="G948" s="78">
        <f aca="true" t="shared" si="9" ref="G948:G953">G949</f>
        <v>5841.2</v>
      </c>
    </row>
    <row r="949" spans="1:7" ht="15.75">
      <c r="A949" s="106" t="s">
        <v>213</v>
      </c>
      <c r="B949" s="107"/>
      <c r="C949" s="173" t="s">
        <v>179</v>
      </c>
      <c r="D949" s="173" t="s">
        <v>197</v>
      </c>
      <c r="E949" s="201"/>
      <c r="F949" s="203"/>
      <c r="G949" s="78">
        <f t="shared" si="9"/>
        <v>5841.2</v>
      </c>
    </row>
    <row r="950" spans="1:7" ht="26.25">
      <c r="A950" s="145" t="s">
        <v>436</v>
      </c>
      <c r="B950" s="107"/>
      <c r="C950" s="173" t="s">
        <v>179</v>
      </c>
      <c r="D950" s="173" t="s">
        <v>197</v>
      </c>
      <c r="E950" s="201" t="s">
        <v>44</v>
      </c>
      <c r="F950" s="203"/>
      <c r="G950" s="78">
        <f t="shared" si="9"/>
        <v>5841.2</v>
      </c>
    </row>
    <row r="951" spans="1:7" ht="15.75">
      <c r="A951" s="185" t="s">
        <v>447</v>
      </c>
      <c r="B951" s="107"/>
      <c r="C951" s="173" t="s">
        <v>179</v>
      </c>
      <c r="D951" s="173" t="s">
        <v>197</v>
      </c>
      <c r="E951" s="201" t="s">
        <v>263</v>
      </c>
      <c r="F951" s="202"/>
      <c r="G951" s="74">
        <f t="shared" si="9"/>
        <v>5841.2</v>
      </c>
    </row>
    <row r="952" spans="1:7" ht="15.75">
      <c r="A952" s="196" t="s">
        <v>391</v>
      </c>
      <c r="B952" s="197"/>
      <c r="C952" s="174" t="s">
        <v>179</v>
      </c>
      <c r="D952" s="174" t="s">
        <v>197</v>
      </c>
      <c r="E952" s="200" t="s">
        <v>658</v>
      </c>
      <c r="F952" s="202"/>
      <c r="G952" s="74">
        <f t="shared" si="9"/>
        <v>5841.2</v>
      </c>
    </row>
    <row r="953" spans="1:7" ht="15.75">
      <c r="A953" s="128" t="s">
        <v>265</v>
      </c>
      <c r="B953" s="111"/>
      <c r="C953" s="174" t="s">
        <v>179</v>
      </c>
      <c r="D953" s="174" t="s">
        <v>197</v>
      </c>
      <c r="E953" s="200" t="s">
        <v>658</v>
      </c>
      <c r="F953" s="202" t="s">
        <v>229</v>
      </c>
      <c r="G953" s="74">
        <f t="shared" si="9"/>
        <v>5841.2</v>
      </c>
    </row>
    <row r="954" spans="1:7" ht="15.75">
      <c r="A954" s="187" t="s">
        <v>207</v>
      </c>
      <c r="B954" s="113"/>
      <c r="C954" s="174" t="s">
        <v>179</v>
      </c>
      <c r="D954" s="174" t="s">
        <v>197</v>
      </c>
      <c r="E954" s="200" t="s">
        <v>658</v>
      </c>
      <c r="F954" s="202" t="s">
        <v>230</v>
      </c>
      <c r="G954" s="74">
        <f>2500+1560+1781.2</f>
        <v>5841.2</v>
      </c>
    </row>
    <row r="955" spans="1:17" ht="15.75">
      <c r="A955" s="198" t="s">
        <v>214</v>
      </c>
      <c r="B955" s="199"/>
      <c r="C955" s="199"/>
      <c r="D955" s="199"/>
      <c r="E955" s="199"/>
      <c r="F955" s="199"/>
      <c r="G955" s="246">
        <f>G854+G837+G772+G517+G269+G255+G190+G18+G752</f>
        <v>1591752.1649999998</v>
      </c>
      <c r="Q955" s="3" t="s">
        <v>593</v>
      </c>
    </row>
  </sheetData>
  <sheetProtection/>
  <autoFilter ref="A16:G827"/>
  <mergeCells count="16">
    <mergeCell ref="D1:G1"/>
    <mergeCell ref="D2:G2"/>
    <mergeCell ref="C3:G3"/>
    <mergeCell ref="C4:G4"/>
    <mergeCell ref="C5:G5"/>
    <mergeCell ref="C10:G10"/>
    <mergeCell ref="I28:J28"/>
    <mergeCell ref="I30:J30"/>
    <mergeCell ref="I32:J32"/>
    <mergeCell ref="I34:J34"/>
    <mergeCell ref="D7:G7"/>
    <mergeCell ref="D8:G8"/>
    <mergeCell ref="C9:G9"/>
    <mergeCell ref="C11:G11"/>
    <mergeCell ref="A13:G13"/>
    <mergeCell ref="I16:J16"/>
  </mergeCells>
  <printOptions/>
  <pageMargins left="1.1811023622047245" right="0.5905511811023623" top="0.7874015748031497" bottom="0.5905511811023623" header="0" footer="0"/>
  <pageSetup fitToHeight="11" fitToWidth="1" horizontalDpi="600" verticalDpi="600" orientation="portrait" paperSize="9" scale="48" r:id="rId1"/>
  <rowBreaks count="2" manualBreakCount="2">
    <brk id="773" max="16" man="1"/>
    <brk id="85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1036"/>
  <sheetViews>
    <sheetView view="pageBreakPreview" zoomScale="90" zoomScaleSheetLayoutView="90" zoomScalePageLayoutView="0" workbookViewId="0" topLeftCell="A928">
      <selection activeCell="I317" sqref="I317"/>
    </sheetView>
  </sheetViews>
  <sheetFormatPr defaultColWidth="9.00390625" defaultRowHeight="12.75"/>
  <cols>
    <col min="1" max="1" width="104.25390625" style="31" customWidth="1"/>
    <col min="2" max="3" width="4.25390625" style="49" customWidth="1"/>
    <col min="4" max="4" width="4.625" style="49" customWidth="1"/>
    <col min="5" max="5" width="14.75390625" style="49" customWidth="1"/>
    <col min="6" max="6" width="5.125" style="49" customWidth="1"/>
    <col min="7" max="9" width="14.375" style="80" customWidth="1"/>
    <col min="10" max="16384" width="9.125" style="15" customWidth="1"/>
  </cols>
  <sheetData>
    <row r="1" spans="1:9" s="13" customFormat="1" ht="15.75">
      <c r="A1" s="1"/>
      <c r="B1" s="46"/>
      <c r="C1" s="46"/>
      <c r="D1" s="389" t="s">
        <v>690</v>
      </c>
      <c r="E1" s="390"/>
      <c r="F1" s="390"/>
      <c r="G1" s="390"/>
      <c r="H1" s="390"/>
      <c r="I1" s="390"/>
    </row>
    <row r="2" spans="1:9" s="13" customFormat="1" ht="15.75">
      <c r="A2" s="1"/>
      <c r="B2" s="349"/>
      <c r="C2" s="349"/>
      <c r="D2" s="349"/>
      <c r="E2" s="47"/>
      <c r="F2" s="349"/>
      <c r="G2" s="46"/>
      <c r="H2" s="46"/>
      <c r="I2" s="46"/>
    </row>
    <row r="3" spans="1:9" ht="22.5" customHeight="1">
      <c r="A3" s="386" t="s">
        <v>523</v>
      </c>
      <c r="B3" s="387"/>
      <c r="C3" s="387"/>
      <c r="D3" s="387"/>
      <c r="E3" s="387"/>
      <c r="F3" s="387"/>
      <c r="G3" s="386"/>
      <c r="H3" s="391"/>
      <c r="I3" s="391"/>
    </row>
    <row r="4" spans="1:9" ht="15.75">
      <c r="A4" s="30"/>
      <c r="B4" s="48"/>
      <c r="C4" s="48"/>
      <c r="D4" s="48"/>
      <c r="E4" s="48"/>
      <c r="F4" s="48"/>
      <c r="G4" s="48"/>
      <c r="H4" s="48"/>
      <c r="I4" s="48"/>
    </row>
    <row r="5" spans="1:9" s="13" customFormat="1" ht="66" customHeight="1">
      <c r="A5" s="9" t="s">
        <v>169</v>
      </c>
      <c r="B5" s="66" t="s">
        <v>170</v>
      </c>
      <c r="C5" s="66" t="s">
        <v>171</v>
      </c>
      <c r="D5" s="66" t="s">
        <v>172</v>
      </c>
      <c r="E5" s="66" t="s">
        <v>168</v>
      </c>
      <c r="F5" s="66" t="s">
        <v>173</v>
      </c>
      <c r="G5" s="355" t="s">
        <v>598</v>
      </c>
      <c r="H5" s="355" t="s">
        <v>599</v>
      </c>
      <c r="I5" s="9" t="s">
        <v>600</v>
      </c>
    </row>
    <row r="6" spans="1:9" s="16" customFormat="1" ht="21.75" customHeight="1">
      <c r="A6" s="10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 t="s">
        <v>155</v>
      </c>
      <c r="H6" s="67" t="s">
        <v>601</v>
      </c>
      <c r="I6" s="67" t="s">
        <v>602</v>
      </c>
    </row>
    <row r="7" spans="1:9" s="32" customFormat="1" ht="15.75">
      <c r="A7" s="104" t="s">
        <v>413</v>
      </c>
      <c r="B7" s="105" t="s">
        <v>205</v>
      </c>
      <c r="C7" s="350"/>
      <c r="D7" s="350"/>
      <c r="E7" s="351"/>
      <c r="F7" s="350"/>
      <c r="G7" s="77">
        <f>G8+G124+G138+G172</f>
        <v>79103.379</v>
      </c>
      <c r="H7" s="77">
        <f>H8+H124+H138+H172</f>
        <v>79103.367</v>
      </c>
      <c r="I7" s="77">
        <f>I8+I124+I138+I172</f>
        <v>0.01199999999926149</v>
      </c>
    </row>
    <row r="8" spans="1:9" s="32" customFormat="1" ht="15.75">
      <c r="A8" s="106" t="s">
        <v>154</v>
      </c>
      <c r="B8" s="107"/>
      <c r="C8" s="173" t="s">
        <v>180</v>
      </c>
      <c r="D8" s="174"/>
      <c r="E8" s="200" t="s">
        <v>201</v>
      </c>
      <c r="F8" s="174"/>
      <c r="G8" s="78">
        <f>G9+G17+G67+G53+G58</f>
        <v>70225.479</v>
      </c>
      <c r="H8" s="78">
        <f>H9+H17+H67+H53+H58</f>
        <v>70225.467</v>
      </c>
      <c r="I8" s="78">
        <f>I9+I17+I67+I53+I58</f>
        <v>0.01199999999926149</v>
      </c>
    </row>
    <row r="9" spans="1:9" s="32" customFormat="1" ht="15.75">
      <c r="A9" s="106" t="s">
        <v>239</v>
      </c>
      <c r="B9" s="107"/>
      <c r="C9" s="173" t="s">
        <v>180</v>
      </c>
      <c r="D9" s="173" t="s">
        <v>197</v>
      </c>
      <c r="E9" s="200"/>
      <c r="F9" s="137"/>
      <c r="G9" s="78">
        <f aca="true" t="shared" si="0" ref="G9:H12">G10</f>
        <v>3047.3729999999996</v>
      </c>
      <c r="H9" s="78">
        <f t="shared" si="0"/>
        <v>3047.3729999999996</v>
      </c>
      <c r="I9" s="78">
        <f>I10</f>
        <v>0</v>
      </c>
    </row>
    <row r="10" spans="1:9" s="32" customFormat="1" ht="31.5" customHeight="1">
      <c r="A10" s="106" t="s">
        <v>584</v>
      </c>
      <c r="B10" s="107"/>
      <c r="C10" s="173" t="s">
        <v>180</v>
      </c>
      <c r="D10" s="173" t="s">
        <v>197</v>
      </c>
      <c r="E10" s="201" t="s">
        <v>47</v>
      </c>
      <c r="F10" s="137"/>
      <c r="G10" s="78">
        <f>G11+G14</f>
        <v>3047.3729999999996</v>
      </c>
      <c r="H10" s="78">
        <f>H11+H14</f>
        <v>3047.3729999999996</v>
      </c>
      <c r="I10" s="78">
        <f>I11+I14</f>
        <v>0</v>
      </c>
    </row>
    <row r="11" spans="1:9" s="32" customFormat="1" ht="15.75">
      <c r="A11" s="108" t="s">
        <v>138</v>
      </c>
      <c r="B11" s="107"/>
      <c r="C11" s="174" t="s">
        <v>180</v>
      </c>
      <c r="D11" s="174" t="s">
        <v>197</v>
      </c>
      <c r="E11" s="200" t="s">
        <v>48</v>
      </c>
      <c r="F11" s="137"/>
      <c r="G11" s="74">
        <f t="shared" si="0"/>
        <v>2754.2</v>
      </c>
      <c r="H11" s="74">
        <f t="shared" si="0"/>
        <v>2754.2</v>
      </c>
      <c r="I11" s="74">
        <f>I12</f>
        <v>0</v>
      </c>
    </row>
    <row r="12" spans="1:9" s="32" customFormat="1" ht="26.25">
      <c r="A12" s="109" t="s">
        <v>139</v>
      </c>
      <c r="B12" s="107"/>
      <c r="C12" s="174" t="s">
        <v>180</v>
      </c>
      <c r="D12" s="174" t="s">
        <v>197</v>
      </c>
      <c r="E12" s="200" t="s">
        <v>48</v>
      </c>
      <c r="F12" s="202" t="s">
        <v>228</v>
      </c>
      <c r="G12" s="74">
        <f t="shared" si="0"/>
        <v>2754.2</v>
      </c>
      <c r="H12" s="74">
        <f t="shared" si="0"/>
        <v>2754.2</v>
      </c>
      <c r="I12" s="74">
        <f>I13</f>
        <v>0</v>
      </c>
    </row>
    <row r="13" spans="1:9" s="32" customFormat="1" ht="15.75">
      <c r="A13" s="110" t="s">
        <v>223</v>
      </c>
      <c r="B13" s="107"/>
      <c r="C13" s="174" t="s">
        <v>180</v>
      </c>
      <c r="D13" s="174" t="s">
        <v>197</v>
      </c>
      <c r="E13" s="200" t="s">
        <v>48</v>
      </c>
      <c r="F13" s="202" t="s">
        <v>224</v>
      </c>
      <c r="G13" s="74">
        <f>2115.4+638.8</f>
        <v>2754.2</v>
      </c>
      <c r="H13" s="74">
        <f>2115.4+638.8</f>
        <v>2754.2</v>
      </c>
      <c r="I13" s="74">
        <f>G13-H13</f>
        <v>0</v>
      </c>
    </row>
    <row r="14" spans="1:9" s="32" customFormat="1" ht="25.5">
      <c r="A14" s="112" t="s">
        <v>669</v>
      </c>
      <c r="B14" s="113"/>
      <c r="C14" s="174" t="s">
        <v>180</v>
      </c>
      <c r="D14" s="174" t="s">
        <v>197</v>
      </c>
      <c r="E14" s="200" t="s">
        <v>668</v>
      </c>
      <c r="F14" s="202"/>
      <c r="G14" s="74">
        <f aca="true" t="shared" si="1" ref="G14:I15">G15</f>
        <v>293.173</v>
      </c>
      <c r="H14" s="74">
        <f t="shared" si="1"/>
        <v>293.173</v>
      </c>
      <c r="I14" s="74">
        <f t="shared" si="1"/>
        <v>0</v>
      </c>
    </row>
    <row r="15" spans="1:9" s="32" customFormat="1" ht="25.5">
      <c r="A15" s="110" t="s">
        <v>139</v>
      </c>
      <c r="B15" s="113"/>
      <c r="C15" s="174" t="s">
        <v>180</v>
      </c>
      <c r="D15" s="174" t="s">
        <v>197</v>
      </c>
      <c r="E15" s="200" t="s">
        <v>668</v>
      </c>
      <c r="F15" s="202" t="s">
        <v>228</v>
      </c>
      <c r="G15" s="74">
        <f t="shared" si="1"/>
        <v>293.173</v>
      </c>
      <c r="H15" s="74">
        <f t="shared" si="1"/>
        <v>293.173</v>
      </c>
      <c r="I15" s="74">
        <f t="shared" si="1"/>
        <v>0</v>
      </c>
    </row>
    <row r="16" spans="1:9" s="32" customFormat="1" ht="15.75">
      <c r="A16" s="110" t="s">
        <v>223</v>
      </c>
      <c r="B16" s="113"/>
      <c r="C16" s="174" t="s">
        <v>180</v>
      </c>
      <c r="D16" s="174" t="s">
        <v>197</v>
      </c>
      <c r="E16" s="200" t="s">
        <v>668</v>
      </c>
      <c r="F16" s="202" t="s">
        <v>224</v>
      </c>
      <c r="G16" s="74">
        <f>230.3+62.873</f>
        <v>293.173</v>
      </c>
      <c r="H16" s="74">
        <f>230.3+62.873</f>
        <v>293.173</v>
      </c>
      <c r="I16" s="74">
        <f>G16-H16</f>
        <v>0</v>
      </c>
    </row>
    <row r="17" spans="1:9" s="32" customFormat="1" ht="26.25">
      <c r="A17" s="106" t="s">
        <v>238</v>
      </c>
      <c r="B17" s="111"/>
      <c r="C17" s="173" t="s">
        <v>180</v>
      </c>
      <c r="D17" s="173" t="s">
        <v>196</v>
      </c>
      <c r="E17" s="201" t="s">
        <v>201</v>
      </c>
      <c r="F17" s="203"/>
      <c r="G17" s="78">
        <f>G18+G29+G25</f>
        <v>33142.656</v>
      </c>
      <c r="H17" s="78">
        <f>H18+H29+H25</f>
        <v>33142.656</v>
      </c>
      <c r="I17" s="78">
        <f>I18+I29+I25</f>
        <v>0</v>
      </c>
    </row>
    <row r="18" spans="1:9" s="34" customFormat="1" ht="15.75">
      <c r="A18" s="106" t="s">
        <v>428</v>
      </c>
      <c r="B18" s="107"/>
      <c r="C18" s="173" t="s">
        <v>180</v>
      </c>
      <c r="D18" s="173" t="s">
        <v>196</v>
      </c>
      <c r="E18" s="201" t="s">
        <v>49</v>
      </c>
      <c r="F18" s="203"/>
      <c r="G18" s="78">
        <f>G19+G22</f>
        <v>1034.2</v>
      </c>
      <c r="H18" s="78">
        <f>H19+H22</f>
        <v>1034.2</v>
      </c>
      <c r="I18" s="78">
        <f>I19+I22</f>
        <v>0</v>
      </c>
    </row>
    <row r="19" spans="1:9" s="32" customFormat="1" ht="15.75">
      <c r="A19" s="108" t="s">
        <v>138</v>
      </c>
      <c r="B19" s="111"/>
      <c r="C19" s="174" t="s">
        <v>180</v>
      </c>
      <c r="D19" s="174" t="s">
        <v>196</v>
      </c>
      <c r="E19" s="200" t="s">
        <v>50</v>
      </c>
      <c r="F19" s="202"/>
      <c r="G19" s="74">
        <f>G20</f>
        <v>998.7</v>
      </c>
      <c r="H19" s="74">
        <f>H20</f>
        <v>998.7</v>
      </c>
      <c r="I19" s="74">
        <f>I20</f>
        <v>0</v>
      </c>
    </row>
    <row r="20" spans="1:9" s="32" customFormat="1" ht="15.75">
      <c r="A20" s="110" t="s">
        <v>264</v>
      </c>
      <c r="B20" s="111"/>
      <c r="C20" s="174" t="s">
        <v>180</v>
      </c>
      <c r="D20" s="174" t="s">
        <v>196</v>
      </c>
      <c r="E20" s="200" t="s">
        <v>50</v>
      </c>
      <c r="F20" s="202" t="s">
        <v>216</v>
      </c>
      <c r="G20" s="74">
        <f>SUM(G21)</f>
        <v>998.7</v>
      </c>
      <c r="H20" s="74">
        <f>SUM(H21)</f>
        <v>998.7</v>
      </c>
      <c r="I20" s="74">
        <f>SUM(I21)</f>
        <v>0</v>
      </c>
    </row>
    <row r="21" spans="1:9" s="32" customFormat="1" ht="15.75">
      <c r="A21" s="110" t="s">
        <v>217</v>
      </c>
      <c r="B21" s="111"/>
      <c r="C21" s="174" t="s">
        <v>180</v>
      </c>
      <c r="D21" s="174" t="s">
        <v>196</v>
      </c>
      <c r="E21" s="200" t="s">
        <v>50</v>
      </c>
      <c r="F21" s="202" t="s">
        <v>215</v>
      </c>
      <c r="G21" s="74">
        <v>998.7</v>
      </c>
      <c r="H21" s="74">
        <v>998.7</v>
      </c>
      <c r="I21" s="74">
        <f>G21-H21</f>
        <v>0</v>
      </c>
    </row>
    <row r="22" spans="1:9" s="32" customFormat="1" ht="15.75">
      <c r="A22" s="112" t="s">
        <v>140</v>
      </c>
      <c r="B22" s="111"/>
      <c r="C22" s="174" t="s">
        <v>180</v>
      </c>
      <c r="D22" s="174" t="s">
        <v>196</v>
      </c>
      <c r="E22" s="204" t="s">
        <v>51</v>
      </c>
      <c r="F22" s="202"/>
      <c r="G22" s="74">
        <f aca="true" t="shared" si="2" ref="G22:I23">G23</f>
        <v>35.5</v>
      </c>
      <c r="H22" s="74">
        <f t="shared" si="2"/>
        <v>35.5</v>
      </c>
      <c r="I22" s="74">
        <f t="shared" si="2"/>
        <v>0</v>
      </c>
    </row>
    <row r="23" spans="1:9" s="32" customFormat="1" ht="15.75">
      <c r="A23" s="110" t="s">
        <v>264</v>
      </c>
      <c r="B23" s="111"/>
      <c r="C23" s="174" t="s">
        <v>180</v>
      </c>
      <c r="D23" s="174" t="s">
        <v>196</v>
      </c>
      <c r="E23" s="204" t="s">
        <v>51</v>
      </c>
      <c r="F23" s="202" t="s">
        <v>216</v>
      </c>
      <c r="G23" s="74">
        <f t="shared" si="2"/>
        <v>35.5</v>
      </c>
      <c r="H23" s="74">
        <f t="shared" si="2"/>
        <v>35.5</v>
      </c>
      <c r="I23" s="74">
        <f t="shared" si="2"/>
        <v>0</v>
      </c>
    </row>
    <row r="24" spans="1:9" s="32" customFormat="1" ht="15.75">
      <c r="A24" s="110" t="s">
        <v>217</v>
      </c>
      <c r="B24" s="113"/>
      <c r="C24" s="174" t="s">
        <v>180</v>
      </c>
      <c r="D24" s="174" t="s">
        <v>196</v>
      </c>
      <c r="E24" s="204" t="s">
        <v>51</v>
      </c>
      <c r="F24" s="202" t="s">
        <v>215</v>
      </c>
      <c r="G24" s="74">
        <v>35.5</v>
      </c>
      <c r="H24" s="74">
        <v>35.5</v>
      </c>
      <c r="I24" s="74">
        <f>G24-H24</f>
        <v>0</v>
      </c>
    </row>
    <row r="25" spans="1:9" s="32" customFormat="1" ht="27" customHeight="1">
      <c r="A25" s="114" t="s">
        <v>345</v>
      </c>
      <c r="B25" s="115"/>
      <c r="C25" s="173" t="s">
        <v>180</v>
      </c>
      <c r="D25" s="173" t="s">
        <v>196</v>
      </c>
      <c r="E25" s="201" t="s">
        <v>15</v>
      </c>
      <c r="F25" s="203"/>
      <c r="G25" s="78">
        <f aca="true" t="shared" si="3" ref="G25:H27">G26</f>
        <v>35</v>
      </c>
      <c r="H25" s="78">
        <f t="shared" si="3"/>
        <v>35</v>
      </c>
      <c r="I25" s="78">
        <f>I26</f>
        <v>0</v>
      </c>
    </row>
    <row r="26" spans="1:9" s="32" customFormat="1" ht="15.75">
      <c r="A26" s="112" t="s">
        <v>145</v>
      </c>
      <c r="B26" s="111"/>
      <c r="C26" s="174" t="s">
        <v>180</v>
      </c>
      <c r="D26" s="174" t="s">
        <v>196</v>
      </c>
      <c r="E26" s="204" t="s">
        <v>339</v>
      </c>
      <c r="F26" s="202"/>
      <c r="G26" s="74">
        <f t="shared" si="3"/>
        <v>35</v>
      </c>
      <c r="H26" s="74">
        <f t="shared" si="3"/>
        <v>35</v>
      </c>
      <c r="I26" s="74">
        <f>I27</f>
        <v>0</v>
      </c>
    </row>
    <row r="27" spans="1:9" s="32" customFormat="1" ht="15.75">
      <c r="A27" s="110" t="s">
        <v>264</v>
      </c>
      <c r="B27" s="111"/>
      <c r="C27" s="174" t="s">
        <v>180</v>
      </c>
      <c r="D27" s="174" t="s">
        <v>196</v>
      </c>
      <c r="E27" s="204" t="s">
        <v>339</v>
      </c>
      <c r="F27" s="202" t="s">
        <v>216</v>
      </c>
      <c r="G27" s="74">
        <f t="shared" si="3"/>
        <v>35</v>
      </c>
      <c r="H27" s="74">
        <f t="shared" si="3"/>
        <v>35</v>
      </c>
      <c r="I27" s="74">
        <f>I28</f>
        <v>0</v>
      </c>
    </row>
    <row r="28" spans="1:9" s="32" customFormat="1" ht="15.75">
      <c r="A28" s="110" t="s">
        <v>217</v>
      </c>
      <c r="B28" s="113"/>
      <c r="C28" s="174" t="s">
        <v>180</v>
      </c>
      <c r="D28" s="174" t="s">
        <v>196</v>
      </c>
      <c r="E28" s="204" t="s">
        <v>339</v>
      </c>
      <c r="F28" s="202" t="s">
        <v>215</v>
      </c>
      <c r="G28" s="74">
        <v>35</v>
      </c>
      <c r="H28" s="74">
        <v>35</v>
      </c>
      <c r="I28" s="74">
        <f>G28-H28</f>
        <v>0</v>
      </c>
    </row>
    <row r="29" spans="1:9" s="32" customFormat="1" ht="26.25">
      <c r="A29" s="106" t="s">
        <v>584</v>
      </c>
      <c r="B29" s="107"/>
      <c r="C29" s="173" t="s">
        <v>180</v>
      </c>
      <c r="D29" s="173" t="s">
        <v>196</v>
      </c>
      <c r="E29" s="201" t="s">
        <v>47</v>
      </c>
      <c r="F29" s="203"/>
      <c r="G29" s="78">
        <f>G30+G37+G45+G48+G42</f>
        <v>32073.456000000002</v>
      </c>
      <c r="H29" s="78">
        <f>H30+H37+H45+H48+H42</f>
        <v>32073.456000000002</v>
      </c>
      <c r="I29" s="78">
        <f>I30+I37+I45+I48+I42</f>
        <v>0</v>
      </c>
    </row>
    <row r="30" spans="1:9" s="32" customFormat="1" ht="15.75">
      <c r="A30" s="108" t="s">
        <v>138</v>
      </c>
      <c r="B30" s="107"/>
      <c r="C30" s="174" t="s">
        <v>180</v>
      </c>
      <c r="D30" s="174" t="s">
        <v>196</v>
      </c>
      <c r="E30" s="200" t="s">
        <v>48</v>
      </c>
      <c r="F30" s="202"/>
      <c r="G30" s="74">
        <f>G31+G33+G35</f>
        <v>30114.700000000004</v>
      </c>
      <c r="H30" s="74">
        <f>H31+H33+H35</f>
        <v>30114.700000000004</v>
      </c>
      <c r="I30" s="74">
        <f>I31+I33+I35</f>
        <v>0</v>
      </c>
    </row>
    <row r="31" spans="1:9" s="32" customFormat="1" ht="25.5">
      <c r="A31" s="110" t="s">
        <v>139</v>
      </c>
      <c r="B31" s="107"/>
      <c r="C31" s="174" t="s">
        <v>180</v>
      </c>
      <c r="D31" s="174" t="s">
        <v>196</v>
      </c>
      <c r="E31" s="200" t="s">
        <v>48</v>
      </c>
      <c r="F31" s="202" t="s">
        <v>228</v>
      </c>
      <c r="G31" s="74">
        <f>G32</f>
        <v>29037.100000000002</v>
      </c>
      <c r="H31" s="74">
        <f>H32</f>
        <v>29037.100000000002</v>
      </c>
      <c r="I31" s="74">
        <f>I32</f>
        <v>0</v>
      </c>
    </row>
    <row r="32" spans="1:9" s="32" customFormat="1" ht="15.75">
      <c r="A32" s="110" t="s">
        <v>223</v>
      </c>
      <c r="B32" s="113"/>
      <c r="C32" s="174" t="s">
        <v>180</v>
      </c>
      <c r="D32" s="174" t="s">
        <v>196</v>
      </c>
      <c r="E32" s="200" t="s">
        <v>48</v>
      </c>
      <c r="F32" s="202" t="s">
        <v>224</v>
      </c>
      <c r="G32" s="74">
        <f>21432.5+1153.4+6451.2</f>
        <v>29037.100000000002</v>
      </c>
      <c r="H32" s="74">
        <f>21432.5+1153.4+6451.2</f>
        <v>29037.100000000002</v>
      </c>
      <c r="I32" s="74">
        <f>G32-H32</f>
        <v>0</v>
      </c>
    </row>
    <row r="33" spans="1:9" s="32" customFormat="1" ht="15.75">
      <c r="A33" s="110" t="s">
        <v>264</v>
      </c>
      <c r="B33" s="113"/>
      <c r="C33" s="174" t="s">
        <v>180</v>
      </c>
      <c r="D33" s="174" t="s">
        <v>196</v>
      </c>
      <c r="E33" s="200" t="s">
        <v>48</v>
      </c>
      <c r="F33" s="202" t="s">
        <v>216</v>
      </c>
      <c r="G33" s="74">
        <f>G34</f>
        <v>1064.4</v>
      </c>
      <c r="H33" s="74">
        <f>H34</f>
        <v>1064.4</v>
      </c>
      <c r="I33" s="74">
        <f>I34</f>
        <v>0</v>
      </c>
    </row>
    <row r="34" spans="1:9" s="32" customFormat="1" ht="15.75">
      <c r="A34" s="110" t="s">
        <v>217</v>
      </c>
      <c r="B34" s="113"/>
      <c r="C34" s="174" t="s">
        <v>180</v>
      </c>
      <c r="D34" s="174" t="s">
        <v>196</v>
      </c>
      <c r="E34" s="200" t="s">
        <v>48</v>
      </c>
      <c r="F34" s="202" t="s">
        <v>215</v>
      </c>
      <c r="G34" s="74">
        <v>1064.4</v>
      </c>
      <c r="H34" s="74">
        <v>1064.4</v>
      </c>
      <c r="I34" s="74">
        <f>G34-H34</f>
        <v>0</v>
      </c>
    </row>
    <row r="35" spans="1:9" s="32" customFormat="1" ht="15.75">
      <c r="A35" s="110" t="s">
        <v>264</v>
      </c>
      <c r="B35" s="113"/>
      <c r="C35" s="174" t="s">
        <v>180</v>
      </c>
      <c r="D35" s="174" t="s">
        <v>196</v>
      </c>
      <c r="E35" s="200" t="s">
        <v>48</v>
      </c>
      <c r="F35" s="202" t="s">
        <v>216</v>
      </c>
      <c r="G35" s="74">
        <f>G36</f>
        <v>13.2</v>
      </c>
      <c r="H35" s="74">
        <f>H36</f>
        <v>13.2</v>
      </c>
      <c r="I35" s="74">
        <f>I36</f>
        <v>0</v>
      </c>
    </row>
    <row r="36" spans="1:9" s="32" customFormat="1" ht="15.75">
      <c r="A36" s="110" t="s">
        <v>217</v>
      </c>
      <c r="B36" s="113"/>
      <c r="C36" s="174" t="s">
        <v>180</v>
      </c>
      <c r="D36" s="174" t="s">
        <v>196</v>
      </c>
      <c r="E36" s="200" t="s">
        <v>48</v>
      </c>
      <c r="F36" s="202" t="s">
        <v>215</v>
      </c>
      <c r="G36" s="74">
        <v>13.2</v>
      </c>
      <c r="H36" s="74">
        <v>13.2</v>
      </c>
      <c r="I36" s="74">
        <f>G36-H36</f>
        <v>0</v>
      </c>
    </row>
    <row r="37" spans="1:9" s="32" customFormat="1" ht="15.75">
      <c r="A37" s="116" t="s">
        <v>142</v>
      </c>
      <c r="B37" s="107"/>
      <c r="C37" s="174" t="s">
        <v>180</v>
      </c>
      <c r="D37" s="174" t="s">
        <v>196</v>
      </c>
      <c r="E37" s="200" t="s">
        <v>312</v>
      </c>
      <c r="F37" s="202"/>
      <c r="G37" s="74">
        <f>G38+G40</f>
        <v>1477.405</v>
      </c>
      <c r="H37" s="74">
        <f>H38+H40</f>
        <v>1477.405</v>
      </c>
      <c r="I37" s="74">
        <f>I38+I40</f>
        <v>0</v>
      </c>
    </row>
    <row r="38" spans="1:9" s="32" customFormat="1" ht="25.5">
      <c r="A38" s="110" t="s">
        <v>139</v>
      </c>
      <c r="B38" s="107"/>
      <c r="C38" s="174" t="s">
        <v>180</v>
      </c>
      <c r="D38" s="174" t="s">
        <v>196</v>
      </c>
      <c r="E38" s="200" t="s">
        <v>312</v>
      </c>
      <c r="F38" s="202" t="s">
        <v>228</v>
      </c>
      <c r="G38" s="74">
        <f>G39</f>
        <v>1337.406</v>
      </c>
      <c r="H38" s="74">
        <f>H39</f>
        <v>1337.406</v>
      </c>
      <c r="I38" s="74">
        <f>I39</f>
        <v>0</v>
      </c>
    </row>
    <row r="39" spans="1:9" s="32" customFormat="1" ht="15.75">
      <c r="A39" s="110" t="s">
        <v>223</v>
      </c>
      <c r="B39" s="113"/>
      <c r="C39" s="174" t="s">
        <v>180</v>
      </c>
      <c r="D39" s="174" t="s">
        <v>196</v>
      </c>
      <c r="E39" s="200" t="s">
        <v>312</v>
      </c>
      <c r="F39" s="202" t="s">
        <v>224</v>
      </c>
      <c r="G39" s="74">
        <f>996.472+40+300.934</f>
        <v>1337.406</v>
      </c>
      <c r="H39" s="74">
        <f>996.472+40+300.934</f>
        <v>1337.406</v>
      </c>
      <c r="I39" s="74">
        <f>G39-H39</f>
        <v>0</v>
      </c>
    </row>
    <row r="40" spans="1:9" s="32" customFormat="1" ht="15.75">
      <c r="A40" s="110" t="s">
        <v>264</v>
      </c>
      <c r="B40" s="113"/>
      <c r="C40" s="174" t="s">
        <v>180</v>
      </c>
      <c r="D40" s="174" t="s">
        <v>196</v>
      </c>
      <c r="E40" s="200" t="s">
        <v>312</v>
      </c>
      <c r="F40" s="202" t="s">
        <v>216</v>
      </c>
      <c r="G40" s="74">
        <f>G41</f>
        <v>139.999</v>
      </c>
      <c r="H40" s="74">
        <f>H41</f>
        <v>139.999</v>
      </c>
      <c r="I40" s="74">
        <f>I41</f>
        <v>0</v>
      </c>
    </row>
    <row r="41" spans="1:9" s="32" customFormat="1" ht="26.25" customHeight="1">
      <c r="A41" s="110" t="s">
        <v>217</v>
      </c>
      <c r="B41" s="113"/>
      <c r="C41" s="174" t="s">
        <v>180</v>
      </c>
      <c r="D41" s="174" t="s">
        <v>196</v>
      </c>
      <c r="E41" s="200" t="s">
        <v>312</v>
      </c>
      <c r="F41" s="202" t="s">
        <v>215</v>
      </c>
      <c r="G41" s="74">
        <f>98.245+41.754</f>
        <v>139.999</v>
      </c>
      <c r="H41" s="74">
        <f>98.245+41.754</f>
        <v>139.999</v>
      </c>
      <c r="I41" s="74">
        <f>G41-H41</f>
        <v>0</v>
      </c>
    </row>
    <row r="42" spans="1:9" s="32" customFormat="1" ht="15.75">
      <c r="A42" s="112" t="s">
        <v>116</v>
      </c>
      <c r="B42" s="111"/>
      <c r="C42" s="174" t="s">
        <v>180</v>
      </c>
      <c r="D42" s="174" t="s">
        <v>196</v>
      </c>
      <c r="E42" s="204" t="s">
        <v>448</v>
      </c>
      <c r="F42" s="202"/>
      <c r="G42" s="74">
        <f aca="true" t="shared" si="4" ref="G42:I43">G43</f>
        <v>105</v>
      </c>
      <c r="H42" s="74">
        <f t="shared" si="4"/>
        <v>105</v>
      </c>
      <c r="I42" s="74">
        <f t="shared" si="4"/>
        <v>0</v>
      </c>
    </row>
    <row r="43" spans="1:9" s="32" customFormat="1" ht="15.75">
      <c r="A43" s="110" t="s">
        <v>264</v>
      </c>
      <c r="B43" s="111"/>
      <c r="C43" s="174" t="s">
        <v>180</v>
      </c>
      <c r="D43" s="174" t="s">
        <v>196</v>
      </c>
      <c r="E43" s="204" t="s">
        <v>448</v>
      </c>
      <c r="F43" s="202" t="s">
        <v>216</v>
      </c>
      <c r="G43" s="74">
        <f t="shared" si="4"/>
        <v>105</v>
      </c>
      <c r="H43" s="74">
        <f t="shared" si="4"/>
        <v>105</v>
      </c>
      <c r="I43" s="74">
        <f t="shared" si="4"/>
        <v>0</v>
      </c>
    </row>
    <row r="44" spans="1:9" s="32" customFormat="1" ht="15.75">
      <c r="A44" s="110" t="s">
        <v>217</v>
      </c>
      <c r="B44" s="113"/>
      <c r="C44" s="174" t="s">
        <v>180</v>
      </c>
      <c r="D44" s="174" t="s">
        <v>196</v>
      </c>
      <c r="E44" s="204" t="s">
        <v>448</v>
      </c>
      <c r="F44" s="202" t="s">
        <v>215</v>
      </c>
      <c r="G44" s="74">
        <v>105</v>
      </c>
      <c r="H44" s="74">
        <v>105</v>
      </c>
      <c r="I44" s="74">
        <f>G44-H44</f>
        <v>0</v>
      </c>
    </row>
    <row r="45" spans="1:9" s="32" customFormat="1" ht="25.5">
      <c r="A45" s="110" t="s">
        <v>143</v>
      </c>
      <c r="B45" s="111"/>
      <c r="C45" s="174" t="s">
        <v>180</v>
      </c>
      <c r="D45" s="174" t="s">
        <v>196</v>
      </c>
      <c r="E45" s="204" t="s">
        <v>52</v>
      </c>
      <c r="F45" s="202"/>
      <c r="G45" s="74">
        <f aca="true" t="shared" si="5" ref="G45:I46">G46</f>
        <v>7</v>
      </c>
      <c r="H45" s="74">
        <f t="shared" si="5"/>
        <v>7</v>
      </c>
      <c r="I45" s="74">
        <f t="shared" si="5"/>
        <v>0</v>
      </c>
    </row>
    <row r="46" spans="1:9" s="32" customFormat="1" ht="15.75">
      <c r="A46" s="110" t="s">
        <v>264</v>
      </c>
      <c r="B46" s="111"/>
      <c r="C46" s="174" t="s">
        <v>180</v>
      </c>
      <c r="D46" s="174" t="s">
        <v>196</v>
      </c>
      <c r="E46" s="204" t="s">
        <v>52</v>
      </c>
      <c r="F46" s="202" t="s">
        <v>216</v>
      </c>
      <c r="G46" s="74">
        <f t="shared" si="5"/>
        <v>7</v>
      </c>
      <c r="H46" s="74">
        <f t="shared" si="5"/>
        <v>7</v>
      </c>
      <c r="I46" s="74">
        <f t="shared" si="5"/>
        <v>0</v>
      </c>
    </row>
    <row r="47" spans="1:9" s="32" customFormat="1" ht="15.75">
      <c r="A47" s="110" t="s">
        <v>217</v>
      </c>
      <c r="B47" s="113"/>
      <c r="C47" s="174" t="s">
        <v>180</v>
      </c>
      <c r="D47" s="174" t="s">
        <v>196</v>
      </c>
      <c r="E47" s="204" t="s">
        <v>52</v>
      </c>
      <c r="F47" s="202" t="s">
        <v>215</v>
      </c>
      <c r="G47" s="74">
        <v>7</v>
      </c>
      <c r="H47" s="74">
        <v>7</v>
      </c>
      <c r="I47" s="74">
        <f>G47-H47</f>
        <v>0</v>
      </c>
    </row>
    <row r="48" spans="1:9" s="32" customFormat="1" ht="15.75">
      <c r="A48" s="116" t="s">
        <v>141</v>
      </c>
      <c r="B48" s="107"/>
      <c r="C48" s="174" t="s">
        <v>180</v>
      </c>
      <c r="D48" s="174" t="s">
        <v>196</v>
      </c>
      <c r="E48" s="200" t="s">
        <v>53</v>
      </c>
      <c r="F48" s="202"/>
      <c r="G48" s="74">
        <f>G49+G51</f>
        <v>369.35099999999994</v>
      </c>
      <c r="H48" s="74">
        <f>H49+H51</f>
        <v>369.35099999999994</v>
      </c>
      <c r="I48" s="74">
        <f>I49+I51</f>
        <v>0</v>
      </c>
    </row>
    <row r="49" spans="1:9" s="32" customFormat="1" ht="25.5">
      <c r="A49" s="110" t="s">
        <v>139</v>
      </c>
      <c r="B49" s="107"/>
      <c r="C49" s="174" t="s">
        <v>180</v>
      </c>
      <c r="D49" s="174" t="s">
        <v>196</v>
      </c>
      <c r="E49" s="200" t="s">
        <v>53</v>
      </c>
      <c r="F49" s="202" t="s">
        <v>228</v>
      </c>
      <c r="G49" s="74">
        <f>G50</f>
        <v>264.35099999999994</v>
      </c>
      <c r="H49" s="74">
        <f>H50</f>
        <v>264.35099999999994</v>
      </c>
      <c r="I49" s="74">
        <f>I50</f>
        <v>0</v>
      </c>
    </row>
    <row r="50" spans="1:9" s="32" customFormat="1" ht="15.75">
      <c r="A50" s="110" t="s">
        <v>223</v>
      </c>
      <c r="B50" s="113"/>
      <c r="C50" s="174" t="s">
        <v>180</v>
      </c>
      <c r="D50" s="174" t="s">
        <v>196</v>
      </c>
      <c r="E50" s="200" t="s">
        <v>53</v>
      </c>
      <c r="F50" s="202" t="s">
        <v>224</v>
      </c>
      <c r="G50" s="74">
        <f>249.117+10+5.234</f>
        <v>264.35099999999994</v>
      </c>
      <c r="H50" s="74">
        <f>249.117+10+5.234</f>
        <v>264.35099999999994</v>
      </c>
      <c r="I50" s="74">
        <f>G50-H50</f>
        <v>0</v>
      </c>
    </row>
    <row r="51" spans="1:9" s="32" customFormat="1" ht="15.75">
      <c r="A51" s="110" t="s">
        <v>264</v>
      </c>
      <c r="B51" s="113"/>
      <c r="C51" s="174" t="s">
        <v>180</v>
      </c>
      <c r="D51" s="174" t="s">
        <v>196</v>
      </c>
      <c r="E51" s="200" t="s">
        <v>53</v>
      </c>
      <c r="F51" s="202" t="s">
        <v>216</v>
      </c>
      <c r="G51" s="74">
        <f>G52</f>
        <v>105</v>
      </c>
      <c r="H51" s="74">
        <f>H52</f>
        <v>105</v>
      </c>
      <c r="I51" s="74">
        <f>I52</f>
        <v>0</v>
      </c>
    </row>
    <row r="52" spans="1:9" s="32" customFormat="1" ht="15.75">
      <c r="A52" s="110" t="s">
        <v>217</v>
      </c>
      <c r="B52" s="113"/>
      <c r="C52" s="174" t="s">
        <v>180</v>
      </c>
      <c r="D52" s="174" t="s">
        <v>196</v>
      </c>
      <c r="E52" s="200" t="s">
        <v>53</v>
      </c>
      <c r="F52" s="202" t="s">
        <v>215</v>
      </c>
      <c r="G52" s="74">
        <v>105</v>
      </c>
      <c r="H52" s="74">
        <v>105</v>
      </c>
      <c r="I52" s="74">
        <f>G52-H52</f>
        <v>0</v>
      </c>
    </row>
    <row r="53" spans="1:9" s="32" customFormat="1" ht="15.75">
      <c r="A53" s="114" t="s">
        <v>292</v>
      </c>
      <c r="B53" s="113"/>
      <c r="C53" s="173" t="s">
        <v>180</v>
      </c>
      <c r="D53" s="173" t="s">
        <v>198</v>
      </c>
      <c r="E53" s="201"/>
      <c r="F53" s="203"/>
      <c r="G53" s="78">
        <f aca="true" t="shared" si="6" ref="G53:H56">G54</f>
        <v>177.6</v>
      </c>
      <c r="H53" s="78">
        <f t="shared" si="6"/>
        <v>177.6</v>
      </c>
      <c r="I53" s="78">
        <f>I54</f>
        <v>0</v>
      </c>
    </row>
    <row r="54" spans="1:9" s="32" customFormat="1" ht="26.25">
      <c r="A54" s="106" t="s">
        <v>584</v>
      </c>
      <c r="B54" s="113"/>
      <c r="C54" s="173" t="s">
        <v>180</v>
      </c>
      <c r="D54" s="173" t="s">
        <v>198</v>
      </c>
      <c r="E54" s="201" t="s">
        <v>47</v>
      </c>
      <c r="F54" s="203"/>
      <c r="G54" s="78">
        <f t="shared" si="6"/>
        <v>177.6</v>
      </c>
      <c r="H54" s="78">
        <f t="shared" si="6"/>
        <v>177.6</v>
      </c>
      <c r="I54" s="78">
        <f>I55</f>
        <v>0</v>
      </c>
    </row>
    <row r="55" spans="1:9" s="32" customFormat="1" ht="25.5">
      <c r="A55" s="117" t="s">
        <v>293</v>
      </c>
      <c r="B55" s="113"/>
      <c r="C55" s="174" t="s">
        <v>180</v>
      </c>
      <c r="D55" s="174" t="s">
        <v>198</v>
      </c>
      <c r="E55" s="200" t="s">
        <v>294</v>
      </c>
      <c r="F55" s="202"/>
      <c r="G55" s="74">
        <f t="shared" si="6"/>
        <v>177.6</v>
      </c>
      <c r="H55" s="74">
        <f t="shared" si="6"/>
        <v>177.6</v>
      </c>
      <c r="I55" s="74">
        <f>I56</f>
        <v>0</v>
      </c>
    </row>
    <row r="56" spans="1:9" s="32" customFormat="1" ht="15.75">
      <c r="A56" s="110" t="s">
        <v>264</v>
      </c>
      <c r="B56" s="113"/>
      <c r="C56" s="174" t="s">
        <v>180</v>
      </c>
      <c r="D56" s="174" t="s">
        <v>198</v>
      </c>
      <c r="E56" s="200" t="s">
        <v>294</v>
      </c>
      <c r="F56" s="202" t="s">
        <v>216</v>
      </c>
      <c r="G56" s="74">
        <f t="shared" si="6"/>
        <v>177.6</v>
      </c>
      <c r="H56" s="74">
        <f t="shared" si="6"/>
        <v>177.6</v>
      </c>
      <c r="I56" s="74">
        <f>I57</f>
        <v>0</v>
      </c>
    </row>
    <row r="57" spans="1:9" s="32" customFormat="1" ht="15.75">
      <c r="A57" s="110" t="s">
        <v>217</v>
      </c>
      <c r="B57" s="113"/>
      <c r="C57" s="174" t="s">
        <v>180</v>
      </c>
      <c r="D57" s="174" t="s">
        <v>198</v>
      </c>
      <c r="E57" s="200" t="s">
        <v>294</v>
      </c>
      <c r="F57" s="202" t="s">
        <v>215</v>
      </c>
      <c r="G57" s="74">
        <f>192.6-15</f>
        <v>177.6</v>
      </c>
      <c r="H57" s="74">
        <f>192.6-15</f>
        <v>177.6</v>
      </c>
      <c r="I57" s="74">
        <f>G57-H57</f>
        <v>0</v>
      </c>
    </row>
    <row r="58" spans="1:9" s="32" customFormat="1" ht="15.75">
      <c r="A58" s="118" t="s">
        <v>287</v>
      </c>
      <c r="B58" s="119"/>
      <c r="C58" s="205" t="s">
        <v>180</v>
      </c>
      <c r="D58" s="205" t="s">
        <v>152</v>
      </c>
      <c r="E58" s="206"/>
      <c r="F58" s="207"/>
      <c r="G58" s="78">
        <f aca="true" t="shared" si="7" ref="G58:I59">G59</f>
        <v>3970</v>
      </c>
      <c r="H58" s="78">
        <f t="shared" si="7"/>
        <v>3970</v>
      </c>
      <c r="I58" s="83">
        <f t="shared" si="7"/>
        <v>0</v>
      </c>
    </row>
    <row r="59" spans="1:9" s="32" customFormat="1" ht="15.75">
      <c r="A59" s="120" t="s">
        <v>623</v>
      </c>
      <c r="B59" s="119"/>
      <c r="C59" s="205" t="s">
        <v>180</v>
      </c>
      <c r="D59" s="205" t="s">
        <v>152</v>
      </c>
      <c r="E59" s="206" t="s">
        <v>624</v>
      </c>
      <c r="F59" s="207"/>
      <c r="G59" s="78">
        <f t="shared" si="7"/>
        <v>3970</v>
      </c>
      <c r="H59" s="78">
        <f t="shared" si="7"/>
        <v>3970</v>
      </c>
      <c r="I59" s="83">
        <f t="shared" si="7"/>
        <v>0</v>
      </c>
    </row>
    <row r="60" spans="1:9" s="32" customFormat="1" ht="15.75">
      <c r="A60" s="118" t="s">
        <v>625</v>
      </c>
      <c r="B60" s="121"/>
      <c r="C60" s="205" t="s">
        <v>180</v>
      </c>
      <c r="D60" s="205" t="s">
        <v>152</v>
      </c>
      <c r="E60" s="206" t="s">
        <v>626</v>
      </c>
      <c r="F60" s="208"/>
      <c r="G60" s="78">
        <f>G62+G64</f>
        <v>3970</v>
      </c>
      <c r="H60" s="78">
        <f>H62+H64</f>
        <v>3970</v>
      </c>
      <c r="I60" s="83">
        <f>I62+I64</f>
        <v>0</v>
      </c>
    </row>
    <row r="61" spans="1:9" s="32" customFormat="1" ht="15.75">
      <c r="A61" s="122" t="s">
        <v>627</v>
      </c>
      <c r="B61" s="123"/>
      <c r="C61" s="209" t="s">
        <v>180</v>
      </c>
      <c r="D61" s="209" t="s">
        <v>152</v>
      </c>
      <c r="E61" s="210" t="s">
        <v>628</v>
      </c>
      <c r="F61" s="208"/>
      <c r="G61" s="74">
        <f aca="true" t="shared" si="8" ref="G61:I65">G62</f>
        <v>470</v>
      </c>
      <c r="H61" s="74">
        <f t="shared" si="8"/>
        <v>470</v>
      </c>
      <c r="I61" s="29">
        <f t="shared" si="8"/>
        <v>0</v>
      </c>
    </row>
    <row r="62" spans="1:9" s="32" customFormat="1" ht="15.75">
      <c r="A62" s="122" t="s">
        <v>107</v>
      </c>
      <c r="B62" s="123"/>
      <c r="C62" s="209" t="s">
        <v>180</v>
      </c>
      <c r="D62" s="209" t="s">
        <v>152</v>
      </c>
      <c r="E62" s="210" t="s">
        <v>628</v>
      </c>
      <c r="F62" s="208" t="s">
        <v>100</v>
      </c>
      <c r="G62" s="74">
        <f t="shared" si="8"/>
        <v>470</v>
      </c>
      <c r="H62" s="74">
        <f t="shared" si="8"/>
        <v>470</v>
      </c>
      <c r="I62" s="29">
        <f t="shared" si="8"/>
        <v>0</v>
      </c>
    </row>
    <row r="63" spans="1:9" s="32" customFormat="1" ht="15.75">
      <c r="A63" s="124" t="s">
        <v>629</v>
      </c>
      <c r="B63" s="123"/>
      <c r="C63" s="209" t="s">
        <v>180</v>
      </c>
      <c r="D63" s="209" t="s">
        <v>152</v>
      </c>
      <c r="E63" s="210" t="s">
        <v>628</v>
      </c>
      <c r="F63" s="208" t="s">
        <v>630</v>
      </c>
      <c r="G63" s="74">
        <v>470</v>
      </c>
      <c r="H63" s="74">
        <v>470</v>
      </c>
      <c r="I63" s="74">
        <f>G63-H63</f>
        <v>0</v>
      </c>
    </row>
    <row r="64" spans="1:9" s="32" customFormat="1" ht="25.5">
      <c r="A64" s="122" t="s">
        <v>652</v>
      </c>
      <c r="B64" s="123"/>
      <c r="C64" s="209" t="s">
        <v>180</v>
      </c>
      <c r="D64" s="209" t="s">
        <v>152</v>
      </c>
      <c r="E64" s="210" t="s">
        <v>651</v>
      </c>
      <c r="F64" s="208"/>
      <c r="G64" s="74">
        <f t="shared" si="8"/>
        <v>3500</v>
      </c>
      <c r="H64" s="74">
        <f t="shared" si="8"/>
        <v>3500</v>
      </c>
      <c r="I64" s="29">
        <f t="shared" si="8"/>
        <v>0</v>
      </c>
    </row>
    <row r="65" spans="1:9" s="32" customFormat="1" ht="15.75">
      <c r="A65" s="122" t="s">
        <v>107</v>
      </c>
      <c r="B65" s="123"/>
      <c r="C65" s="209" t="s">
        <v>180</v>
      </c>
      <c r="D65" s="209" t="s">
        <v>152</v>
      </c>
      <c r="E65" s="210" t="s">
        <v>651</v>
      </c>
      <c r="F65" s="208" t="s">
        <v>100</v>
      </c>
      <c r="G65" s="74">
        <f t="shared" si="8"/>
        <v>3500</v>
      </c>
      <c r="H65" s="74">
        <f t="shared" si="8"/>
        <v>3500</v>
      </c>
      <c r="I65" s="29">
        <f t="shared" si="8"/>
        <v>0</v>
      </c>
    </row>
    <row r="66" spans="1:9" s="32" customFormat="1" ht="15.75">
      <c r="A66" s="124" t="s">
        <v>629</v>
      </c>
      <c r="B66" s="123"/>
      <c r="C66" s="209" t="s">
        <v>180</v>
      </c>
      <c r="D66" s="209" t="s">
        <v>152</v>
      </c>
      <c r="E66" s="210" t="s">
        <v>651</v>
      </c>
      <c r="F66" s="208" t="s">
        <v>630</v>
      </c>
      <c r="G66" s="74">
        <v>3500</v>
      </c>
      <c r="H66" s="74">
        <v>3500</v>
      </c>
      <c r="I66" s="74">
        <f>G66-H66</f>
        <v>0</v>
      </c>
    </row>
    <row r="67" spans="1:9" s="32" customFormat="1" ht="15.75">
      <c r="A67" s="106" t="s">
        <v>165</v>
      </c>
      <c r="B67" s="113"/>
      <c r="C67" s="173" t="s">
        <v>180</v>
      </c>
      <c r="D67" s="173" t="s">
        <v>146</v>
      </c>
      <c r="E67" s="201" t="s">
        <v>201</v>
      </c>
      <c r="F67" s="203" t="s">
        <v>201</v>
      </c>
      <c r="G67" s="78">
        <f>G68+G99+G95+G116</f>
        <v>29887.85</v>
      </c>
      <c r="H67" s="78">
        <f>H68+H99+H95+H116</f>
        <v>29887.837999999996</v>
      </c>
      <c r="I67" s="78">
        <f>I68+I99+I95+I116</f>
        <v>0.01199999999926149</v>
      </c>
    </row>
    <row r="68" spans="1:9" s="32" customFormat="1" ht="15.75">
      <c r="A68" s="114" t="s">
        <v>429</v>
      </c>
      <c r="B68" s="115"/>
      <c r="C68" s="173" t="s">
        <v>180</v>
      </c>
      <c r="D68" s="173" t="s">
        <v>146</v>
      </c>
      <c r="E68" s="201" t="s">
        <v>58</v>
      </c>
      <c r="F68" s="203"/>
      <c r="G68" s="78">
        <f>G69+G78+G89</f>
        <v>3285.1</v>
      </c>
      <c r="H68" s="78">
        <f>H69+H78+H89</f>
        <v>3285.1</v>
      </c>
      <c r="I68" s="78">
        <f>I69+I78+I89</f>
        <v>0</v>
      </c>
    </row>
    <row r="69" spans="1:9" s="32" customFormat="1" ht="15.75">
      <c r="A69" s="106" t="s">
        <v>512</v>
      </c>
      <c r="B69" s="115"/>
      <c r="C69" s="173" t="s">
        <v>180</v>
      </c>
      <c r="D69" s="173" t="s">
        <v>146</v>
      </c>
      <c r="E69" s="201" t="s">
        <v>257</v>
      </c>
      <c r="F69" s="203"/>
      <c r="G69" s="78">
        <f>G70+G75</f>
        <v>1989.3</v>
      </c>
      <c r="H69" s="78">
        <f>H70+H75</f>
        <v>1989.3</v>
      </c>
      <c r="I69" s="78">
        <f>I70+I75</f>
        <v>0</v>
      </c>
    </row>
    <row r="70" spans="1:9" s="32" customFormat="1" ht="15.75">
      <c r="A70" s="112" t="s">
        <v>117</v>
      </c>
      <c r="B70" s="113"/>
      <c r="C70" s="174" t="s">
        <v>180</v>
      </c>
      <c r="D70" s="174" t="s">
        <v>146</v>
      </c>
      <c r="E70" s="200" t="s">
        <v>334</v>
      </c>
      <c r="F70" s="202"/>
      <c r="G70" s="74">
        <f>G71+G73</f>
        <v>54.7</v>
      </c>
      <c r="H70" s="74">
        <f>H71+H73</f>
        <v>54.7</v>
      </c>
      <c r="I70" s="74">
        <f>I71+I73</f>
        <v>0</v>
      </c>
    </row>
    <row r="71" spans="1:9" s="32" customFormat="1" ht="25.5">
      <c r="A71" s="110" t="s">
        <v>139</v>
      </c>
      <c r="B71" s="113"/>
      <c r="C71" s="174" t="s">
        <v>180</v>
      </c>
      <c r="D71" s="174" t="s">
        <v>146</v>
      </c>
      <c r="E71" s="200" t="s">
        <v>334</v>
      </c>
      <c r="F71" s="202" t="s">
        <v>228</v>
      </c>
      <c r="G71" s="74">
        <f>G72</f>
        <v>13.2</v>
      </c>
      <c r="H71" s="74">
        <f>H72</f>
        <v>13.2</v>
      </c>
      <c r="I71" s="74">
        <f>I72</f>
        <v>0</v>
      </c>
    </row>
    <row r="72" spans="1:9" s="32" customFormat="1" ht="15.75">
      <c r="A72" s="110" t="s">
        <v>223</v>
      </c>
      <c r="B72" s="113"/>
      <c r="C72" s="174" t="s">
        <v>180</v>
      </c>
      <c r="D72" s="174" t="s">
        <v>146</v>
      </c>
      <c r="E72" s="200" t="s">
        <v>334</v>
      </c>
      <c r="F72" s="202" t="s">
        <v>224</v>
      </c>
      <c r="G72" s="74">
        <v>13.2</v>
      </c>
      <c r="H72" s="74">
        <v>13.2</v>
      </c>
      <c r="I72" s="74">
        <f>G72-H72</f>
        <v>0</v>
      </c>
    </row>
    <row r="73" spans="1:9" s="32" customFormat="1" ht="15.75">
      <c r="A73" s="110" t="s">
        <v>264</v>
      </c>
      <c r="B73" s="113"/>
      <c r="C73" s="174" t="s">
        <v>180</v>
      </c>
      <c r="D73" s="174" t="s">
        <v>146</v>
      </c>
      <c r="E73" s="200" t="s">
        <v>334</v>
      </c>
      <c r="F73" s="202" t="s">
        <v>216</v>
      </c>
      <c r="G73" s="74">
        <f>G74</f>
        <v>41.5</v>
      </c>
      <c r="H73" s="74">
        <f>H74</f>
        <v>41.5</v>
      </c>
      <c r="I73" s="74">
        <f>I74</f>
        <v>0</v>
      </c>
    </row>
    <row r="74" spans="1:9" s="32" customFormat="1" ht="15.75">
      <c r="A74" s="110" t="s">
        <v>217</v>
      </c>
      <c r="B74" s="113"/>
      <c r="C74" s="174" t="s">
        <v>180</v>
      </c>
      <c r="D74" s="174" t="s">
        <v>146</v>
      </c>
      <c r="E74" s="200" t="s">
        <v>334</v>
      </c>
      <c r="F74" s="202" t="s">
        <v>215</v>
      </c>
      <c r="G74" s="74">
        <v>41.5</v>
      </c>
      <c r="H74" s="74">
        <v>41.5</v>
      </c>
      <c r="I74" s="74">
        <f>G74-H74</f>
        <v>0</v>
      </c>
    </row>
    <row r="75" spans="1:9" s="32" customFormat="1" ht="15.75">
      <c r="A75" s="124" t="s">
        <v>385</v>
      </c>
      <c r="B75" s="113"/>
      <c r="C75" s="174" t="s">
        <v>180</v>
      </c>
      <c r="D75" s="174" t="s">
        <v>146</v>
      </c>
      <c r="E75" s="200" t="s">
        <v>335</v>
      </c>
      <c r="F75" s="202"/>
      <c r="G75" s="74">
        <f aca="true" t="shared" si="9" ref="G75:I76">G76</f>
        <v>1934.6</v>
      </c>
      <c r="H75" s="74">
        <f t="shared" si="9"/>
        <v>1934.6</v>
      </c>
      <c r="I75" s="74">
        <f t="shared" si="9"/>
        <v>0</v>
      </c>
    </row>
    <row r="76" spans="1:9" s="32" customFormat="1" ht="15.75">
      <c r="A76" s="112" t="s">
        <v>203</v>
      </c>
      <c r="B76" s="113"/>
      <c r="C76" s="174" t="s">
        <v>180</v>
      </c>
      <c r="D76" s="174" t="s">
        <v>146</v>
      </c>
      <c r="E76" s="200" t="s">
        <v>335</v>
      </c>
      <c r="F76" s="202" t="s">
        <v>204</v>
      </c>
      <c r="G76" s="74">
        <f t="shared" si="9"/>
        <v>1934.6</v>
      </c>
      <c r="H76" s="74">
        <f t="shared" si="9"/>
        <v>1934.6</v>
      </c>
      <c r="I76" s="74">
        <f t="shared" si="9"/>
        <v>0</v>
      </c>
    </row>
    <row r="77" spans="1:9" s="32" customFormat="1" ht="15.75">
      <c r="A77" s="112" t="s">
        <v>234</v>
      </c>
      <c r="B77" s="113"/>
      <c r="C77" s="174" t="s">
        <v>180</v>
      </c>
      <c r="D77" s="174" t="s">
        <v>146</v>
      </c>
      <c r="E77" s="200" t="s">
        <v>335</v>
      </c>
      <c r="F77" s="202" t="s">
        <v>233</v>
      </c>
      <c r="G77" s="74">
        <v>1934.6</v>
      </c>
      <c r="H77" s="74">
        <v>1934.6</v>
      </c>
      <c r="I77" s="74">
        <f>G77-H77</f>
        <v>0</v>
      </c>
    </row>
    <row r="78" spans="1:9" s="32" customFormat="1" ht="25.5">
      <c r="A78" s="125" t="s">
        <v>513</v>
      </c>
      <c r="B78" s="113"/>
      <c r="C78" s="173" t="s">
        <v>180</v>
      </c>
      <c r="D78" s="173" t="s">
        <v>146</v>
      </c>
      <c r="E78" s="201" t="s">
        <v>336</v>
      </c>
      <c r="F78" s="203"/>
      <c r="G78" s="78">
        <f>G79+G86</f>
        <v>1215.8</v>
      </c>
      <c r="H78" s="78">
        <f>H79+H86</f>
        <v>1215.8</v>
      </c>
      <c r="I78" s="78">
        <f>I79+I86</f>
        <v>0</v>
      </c>
    </row>
    <row r="79" spans="1:9" s="32" customFormat="1" ht="15.75">
      <c r="A79" s="112" t="s">
        <v>112</v>
      </c>
      <c r="B79" s="113"/>
      <c r="C79" s="174" t="s">
        <v>180</v>
      </c>
      <c r="D79" s="174" t="s">
        <v>146</v>
      </c>
      <c r="E79" s="200" t="s">
        <v>337</v>
      </c>
      <c r="F79" s="202"/>
      <c r="G79" s="74">
        <f>G80+G84+G82</f>
        <v>380</v>
      </c>
      <c r="H79" s="74">
        <f>H80+H84+H82</f>
        <v>380</v>
      </c>
      <c r="I79" s="74">
        <f>I80+I84+I82</f>
        <v>0</v>
      </c>
    </row>
    <row r="80" spans="1:9" s="32" customFormat="1" ht="25.5">
      <c r="A80" s="110" t="s">
        <v>139</v>
      </c>
      <c r="B80" s="113"/>
      <c r="C80" s="174" t="s">
        <v>180</v>
      </c>
      <c r="D80" s="174" t="s">
        <v>146</v>
      </c>
      <c r="E80" s="200" t="s">
        <v>337</v>
      </c>
      <c r="F80" s="202" t="s">
        <v>228</v>
      </c>
      <c r="G80" s="74">
        <f>G81</f>
        <v>35.1</v>
      </c>
      <c r="H80" s="74">
        <f>H81</f>
        <v>35.1</v>
      </c>
      <c r="I80" s="74">
        <f>I81</f>
        <v>0</v>
      </c>
    </row>
    <row r="81" spans="1:9" s="32" customFormat="1" ht="24.75" customHeight="1">
      <c r="A81" s="110" t="s">
        <v>223</v>
      </c>
      <c r="B81" s="113"/>
      <c r="C81" s="174" t="s">
        <v>180</v>
      </c>
      <c r="D81" s="174" t="s">
        <v>146</v>
      </c>
      <c r="E81" s="200" t="s">
        <v>337</v>
      </c>
      <c r="F81" s="202" t="s">
        <v>224</v>
      </c>
      <c r="G81" s="74">
        <v>35.1</v>
      </c>
      <c r="H81" s="74">
        <v>35.1</v>
      </c>
      <c r="I81" s="74">
        <f>G81-H81</f>
        <v>0</v>
      </c>
    </row>
    <row r="82" spans="1:9" s="32" customFormat="1" ht="15.75">
      <c r="A82" s="110" t="s">
        <v>264</v>
      </c>
      <c r="B82" s="113"/>
      <c r="C82" s="174" t="s">
        <v>180</v>
      </c>
      <c r="D82" s="174" t="s">
        <v>146</v>
      </c>
      <c r="E82" s="200" t="s">
        <v>337</v>
      </c>
      <c r="F82" s="202" t="s">
        <v>216</v>
      </c>
      <c r="G82" s="74">
        <f>G83</f>
        <v>324.9</v>
      </c>
      <c r="H82" s="74">
        <f>H83</f>
        <v>324.9</v>
      </c>
      <c r="I82" s="74">
        <f>I83</f>
        <v>0</v>
      </c>
    </row>
    <row r="83" spans="1:9" s="32" customFormat="1" ht="15.75">
      <c r="A83" s="110" t="s">
        <v>217</v>
      </c>
      <c r="B83" s="113"/>
      <c r="C83" s="174" t="s">
        <v>180</v>
      </c>
      <c r="D83" s="174" t="s">
        <v>146</v>
      </c>
      <c r="E83" s="200" t="s">
        <v>337</v>
      </c>
      <c r="F83" s="202" t="s">
        <v>215</v>
      </c>
      <c r="G83" s="74">
        <v>324.9</v>
      </c>
      <c r="H83" s="74">
        <v>324.9</v>
      </c>
      <c r="I83" s="74">
        <f>G83-H83</f>
        <v>0</v>
      </c>
    </row>
    <row r="84" spans="1:9" s="32" customFormat="1" ht="25.5">
      <c r="A84" s="110" t="s">
        <v>235</v>
      </c>
      <c r="B84" s="113"/>
      <c r="C84" s="174" t="s">
        <v>180</v>
      </c>
      <c r="D84" s="174" t="s">
        <v>146</v>
      </c>
      <c r="E84" s="200" t="s">
        <v>337</v>
      </c>
      <c r="F84" s="202" t="s">
        <v>206</v>
      </c>
      <c r="G84" s="74">
        <f>G85</f>
        <v>20</v>
      </c>
      <c r="H84" s="74">
        <f>H85</f>
        <v>20</v>
      </c>
      <c r="I84" s="74">
        <f>I85</f>
        <v>0</v>
      </c>
    </row>
    <row r="85" spans="1:9" s="32" customFormat="1" ht="32.25" customHeight="1">
      <c r="A85" s="110" t="s">
        <v>518</v>
      </c>
      <c r="B85" s="113"/>
      <c r="C85" s="174" t="s">
        <v>180</v>
      </c>
      <c r="D85" s="174" t="s">
        <v>146</v>
      </c>
      <c r="E85" s="200" t="s">
        <v>337</v>
      </c>
      <c r="F85" s="202" t="s">
        <v>236</v>
      </c>
      <c r="G85" s="74">
        <v>20</v>
      </c>
      <c r="H85" s="74">
        <v>20</v>
      </c>
      <c r="I85" s="74">
        <f>G85-H85</f>
        <v>0</v>
      </c>
    </row>
    <row r="86" spans="1:9" s="32" customFormat="1" ht="15.75">
      <c r="A86" s="117" t="s">
        <v>386</v>
      </c>
      <c r="B86" s="113"/>
      <c r="C86" s="174" t="s">
        <v>180</v>
      </c>
      <c r="D86" s="174" t="s">
        <v>146</v>
      </c>
      <c r="E86" s="200" t="s">
        <v>338</v>
      </c>
      <c r="F86" s="202"/>
      <c r="G86" s="74">
        <f aca="true" t="shared" si="10" ref="G86:I87">G87</f>
        <v>835.8</v>
      </c>
      <c r="H86" s="74">
        <f t="shared" si="10"/>
        <v>835.8</v>
      </c>
      <c r="I86" s="74">
        <f t="shared" si="10"/>
        <v>0</v>
      </c>
    </row>
    <row r="87" spans="1:9" s="32" customFormat="1" ht="25.5">
      <c r="A87" s="110" t="s">
        <v>235</v>
      </c>
      <c r="B87" s="113"/>
      <c r="C87" s="174" t="s">
        <v>180</v>
      </c>
      <c r="D87" s="174" t="s">
        <v>146</v>
      </c>
      <c r="E87" s="200" t="s">
        <v>338</v>
      </c>
      <c r="F87" s="202" t="s">
        <v>206</v>
      </c>
      <c r="G87" s="74">
        <f t="shared" si="10"/>
        <v>835.8</v>
      </c>
      <c r="H87" s="74">
        <f t="shared" si="10"/>
        <v>835.8</v>
      </c>
      <c r="I87" s="74">
        <f t="shared" si="10"/>
        <v>0</v>
      </c>
    </row>
    <row r="88" spans="1:9" s="32" customFormat="1" ht="25.5">
      <c r="A88" s="110" t="s">
        <v>518</v>
      </c>
      <c r="B88" s="113"/>
      <c r="C88" s="174" t="s">
        <v>180</v>
      </c>
      <c r="D88" s="174" t="s">
        <v>146</v>
      </c>
      <c r="E88" s="200" t="s">
        <v>338</v>
      </c>
      <c r="F88" s="202" t="s">
        <v>236</v>
      </c>
      <c r="G88" s="74">
        <v>835.8</v>
      </c>
      <c r="H88" s="74">
        <v>835.8</v>
      </c>
      <c r="I88" s="74">
        <f>G88-H88</f>
        <v>0</v>
      </c>
    </row>
    <row r="89" spans="1:9" s="32" customFormat="1" ht="15.75">
      <c r="A89" s="125" t="s">
        <v>555</v>
      </c>
      <c r="B89" s="113"/>
      <c r="C89" s="173" t="s">
        <v>180</v>
      </c>
      <c r="D89" s="173" t="s">
        <v>146</v>
      </c>
      <c r="E89" s="201" t="s">
        <v>558</v>
      </c>
      <c r="F89" s="203"/>
      <c r="G89" s="78">
        <f>G90</f>
        <v>80</v>
      </c>
      <c r="H89" s="78">
        <f>H90</f>
        <v>80</v>
      </c>
      <c r="I89" s="78">
        <f>I90</f>
        <v>0</v>
      </c>
    </row>
    <row r="90" spans="1:9" s="32" customFormat="1" ht="15.75">
      <c r="A90" s="112" t="s">
        <v>112</v>
      </c>
      <c r="B90" s="113"/>
      <c r="C90" s="174" t="s">
        <v>180</v>
      </c>
      <c r="D90" s="174" t="s">
        <v>146</v>
      </c>
      <c r="E90" s="200" t="s">
        <v>557</v>
      </c>
      <c r="F90" s="202"/>
      <c r="G90" s="74">
        <f>G91+G93</f>
        <v>80</v>
      </c>
      <c r="H90" s="74">
        <f>H91+H93</f>
        <v>80</v>
      </c>
      <c r="I90" s="74">
        <f>I91+I93</f>
        <v>0</v>
      </c>
    </row>
    <row r="91" spans="1:9" s="32" customFormat="1" ht="25.5">
      <c r="A91" s="110" t="s">
        <v>139</v>
      </c>
      <c r="B91" s="113"/>
      <c r="C91" s="174" t="s">
        <v>180</v>
      </c>
      <c r="D91" s="174" t="s">
        <v>146</v>
      </c>
      <c r="E91" s="200" t="s">
        <v>557</v>
      </c>
      <c r="F91" s="202" t="s">
        <v>228</v>
      </c>
      <c r="G91" s="74">
        <f>G92</f>
        <v>60</v>
      </c>
      <c r="H91" s="74">
        <f>H92</f>
        <v>60</v>
      </c>
      <c r="I91" s="74">
        <f>I92</f>
        <v>0</v>
      </c>
    </row>
    <row r="92" spans="1:9" s="32" customFormat="1" ht="17.25" customHeight="1">
      <c r="A92" s="110" t="s">
        <v>223</v>
      </c>
      <c r="B92" s="113"/>
      <c r="C92" s="174" t="s">
        <v>180</v>
      </c>
      <c r="D92" s="174" t="s">
        <v>146</v>
      </c>
      <c r="E92" s="200" t="s">
        <v>557</v>
      </c>
      <c r="F92" s="202" t="s">
        <v>224</v>
      </c>
      <c r="G92" s="74">
        <v>60</v>
      </c>
      <c r="H92" s="74">
        <v>60</v>
      </c>
      <c r="I92" s="74">
        <f>G92-H92</f>
        <v>0</v>
      </c>
    </row>
    <row r="93" spans="1:9" s="32" customFormat="1" ht="15.75">
      <c r="A93" s="110" t="s">
        <v>264</v>
      </c>
      <c r="B93" s="113"/>
      <c r="C93" s="174" t="s">
        <v>180</v>
      </c>
      <c r="D93" s="174" t="s">
        <v>146</v>
      </c>
      <c r="E93" s="200" t="s">
        <v>557</v>
      </c>
      <c r="F93" s="202" t="s">
        <v>216</v>
      </c>
      <c r="G93" s="74">
        <f>G94</f>
        <v>20</v>
      </c>
      <c r="H93" s="74">
        <f>H94</f>
        <v>20</v>
      </c>
      <c r="I93" s="74">
        <f>I94</f>
        <v>0</v>
      </c>
    </row>
    <row r="94" spans="1:9" s="32" customFormat="1" ht="16.5" customHeight="1">
      <c r="A94" s="110" t="s">
        <v>217</v>
      </c>
      <c r="B94" s="113"/>
      <c r="C94" s="174" t="s">
        <v>180</v>
      </c>
      <c r="D94" s="174" t="s">
        <v>146</v>
      </c>
      <c r="E94" s="200" t="s">
        <v>557</v>
      </c>
      <c r="F94" s="202" t="s">
        <v>215</v>
      </c>
      <c r="G94" s="74">
        <v>20</v>
      </c>
      <c r="H94" s="74">
        <v>20</v>
      </c>
      <c r="I94" s="74">
        <f>G94-H94</f>
        <v>0</v>
      </c>
    </row>
    <row r="95" spans="1:9" s="32" customFormat="1" ht="15" customHeight="1">
      <c r="A95" s="126" t="s">
        <v>488</v>
      </c>
      <c r="B95" s="127"/>
      <c r="C95" s="153" t="s">
        <v>180</v>
      </c>
      <c r="D95" s="153" t="s">
        <v>146</v>
      </c>
      <c r="E95" s="201" t="s">
        <v>468</v>
      </c>
      <c r="F95" s="211"/>
      <c r="G95" s="78">
        <f aca="true" t="shared" si="11" ref="G95:H97">G96</f>
        <v>56</v>
      </c>
      <c r="H95" s="78">
        <f t="shared" si="11"/>
        <v>56</v>
      </c>
      <c r="I95" s="78">
        <f>I96</f>
        <v>0</v>
      </c>
    </row>
    <row r="96" spans="1:9" s="32" customFormat="1" ht="15.75">
      <c r="A96" s="112" t="s">
        <v>111</v>
      </c>
      <c r="B96" s="113"/>
      <c r="C96" s="152" t="s">
        <v>180</v>
      </c>
      <c r="D96" s="152" t="s">
        <v>146</v>
      </c>
      <c r="E96" s="210" t="s">
        <v>469</v>
      </c>
      <c r="F96" s="208"/>
      <c r="G96" s="74">
        <f t="shared" si="11"/>
        <v>56</v>
      </c>
      <c r="H96" s="74">
        <f t="shared" si="11"/>
        <v>56</v>
      </c>
      <c r="I96" s="74">
        <f>I97</f>
        <v>0</v>
      </c>
    </row>
    <row r="97" spans="1:9" s="32" customFormat="1" ht="15.75">
      <c r="A97" s="110" t="s">
        <v>264</v>
      </c>
      <c r="B97" s="111"/>
      <c r="C97" s="152" t="s">
        <v>180</v>
      </c>
      <c r="D97" s="152" t="s">
        <v>146</v>
      </c>
      <c r="E97" s="210" t="s">
        <v>469</v>
      </c>
      <c r="F97" s="208" t="s">
        <v>216</v>
      </c>
      <c r="G97" s="74">
        <f t="shared" si="11"/>
        <v>56</v>
      </c>
      <c r="H97" s="74">
        <f t="shared" si="11"/>
        <v>56</v>
      </c>
      <c r="I97" s="74">
        <f>I98</f>
        <v>0</v>
      </c>
    </row>
    <row r="98" spans="1:9" s="32" customFormat="1" ht="15.75">
      <c r="A98" s="110" t="s">
        <v>217</v>
      </c>
      <c r="B98" s="113"/>
      <c r="C98" s="152" t="s">
        <v>180</v>
      </c>
      <c r="D98" s="152" t="s">
        <v>146</v>
      </c>
      <c r="E98" s="210" t="s">
        <v>469</v>
      </c>
      <c r="F98" s="208" t="s">
        <v>215</v>
      </c>
      <c r="G98" s="74">
        <v>56</v>
      </c>
      <c r="H98" s="74">
        <v>56</v>
      </c>
      <c r="I98" s="74">
        <f>G98-H98</f>
        <v>0</v>
      </c>
    </row>
    <row r="99" spans="1:9" s="34" customFormat="1" ht="26.25">
      <c r="A99" s="106" t="s">
        <v>584</v>
      </c>
      <c r="B99" s="107"/>
      <c r="C99" s="173" t="s">
        <v>180</v>
      </c>
      <c r="D99" s="173" t="s">
        <v>146</v>
      </c>
      <c r="E99" s="201" t="s">
        <v>47</v>
      </c>
      <c r="F99" s="203"/>
      <c r="G99" s="78">
        <f>G108+G100+G113</f>
        <v>25886.75</v>
      </c>
      <c r="H99" s="78">
        <f>H108+H100+H113</f>
        <v>25886.737999999998</v>
      </c>
      <c r="I99" s="78">
        <f>I108+I100+I113</f>
        <v>0.01199999999926149</v>
      </c>
    </row>
    <row r="100" spans="1:9" s="32" customFormat="1" ht="15.75">
      <c r="A100" s="108" t="s">
        <v>127</v>
      </c>
      <c r="B100" s="107"/>
      <c r="C100" s="174" t="s">
        <v>180</v>
      </c>
      <c r="D100" s="174" t="s">
        <v>146</v>
      </c>
      <c r="E100" s="200" t="s">
        <v>305</v>
      </c>
      <c r="F100" s="202"/>
      <c r="G100" s="74">
        <f>G101+G103+G105</f>
        <v>23008.2</v>
      </c>
      <c r="H100" s="74">
        <f>H101+H103+H105</f>
        <v>23008.188</v>
      </c>
      <c r="I100" s="74">
        <f>I101+I103+I105</f>
        <v>0.01199999999926149</v>
      </c>
    </row>
    <row r="101" spans="1:9" s="32" customFormat="1" ht="25.5">
      <c r="A101" s="110" t="s">
        <v>139</v>
      </c>
      <c r="B101" s="107"/>
      <c r="C101" s="174" t="s">
        <v>180</v>
      </c>
      <c r="D101" s="174" t="s">
        <v>146</v>
      </c>
      <c r="E101" s="200" t="s">
        <v>305</v>
      </c>
      <c r="F101" s="202" t="s">
        <v>228</v>
      </c>
      <c r="G101" s="74">
        <f>G102</f>
        <v>6131.299999999999</v>
      </c>
      <c r="H101" s="74">
        <f>H102</f>
        <v>6131.299999999999</v>
      </c>
      <c r="I101" s="74">
        <f>I102</f>
        <v>0</v>
      </c>
    </row>
    <row r="102" spans="1:9" s="32" customFormat="1" ht="15.75">
      <c r="A102" s="110" t="s">
        <v>307</v>
      </c>
      <c r="B102" s="107"/>
      <c r="C102" s="174" t="s">
        <v>180</v>
      </c>
      <c r="D102" s="174" t="s">
        <v>146</v>
      </c>
      <c r="E102" s="200" t="s">
        <v>305</v>
      </c>
      <c r="F102" s="202" t="s">
        <v>306</v>
      </c>
      <c r="G102" s="74">
        <f>4382.7+355+1393.6</f>
        <v>6131.299999999999</v>
      </c>
      <c r="H102" s="74">
        <f>4382.7+355+1393.6</f>
        <v>6131.299999999999</v>
      </c>
      <c r="I102" s="74">
        <f>G102-H102</f>
        <v>0</v>
      </c>
    </row>
    <row r="103" spans="1:9" s="32" customFormat="1" ht="15.75">
      <c r="A103" s="110" t="s">
        <v>264</v>
      </c>
      <c r="B103" s="107"/>
      <c r="C103" s="174" t="s">
        <v>180</v>
      </c>
      <c r="D103" s="174" t="s">
        <v>146</v>
      </c>
      <c r="E103" s="200" t="s">
        <v>305</v>
      </c>
      <c r="F103" s="202" t="s">
        <v>216</v>
      </c>
      <c r="G103" s="74">
        <f>G104</f>
        <v>16249.5</v>
      </c>
      <c r="H103" s="74">
        <f>H104</f>
        <v>16306.2</v>
      </c>
      <c r="I103" s="74">
        <f>I104</f>
        <v>-56.70000000000073</v>
      </c>
    </row>
    <row r="104" spans="1:9" s="32" customFormat="1" ht="15.75">
      <c r="A104" s="110" t="s">
        <v>217</v>
      </c>
      <c r="B104" s="107"/>
      <c r="C104" s="174" t="s">
        <v>180</v>
      </c>
      <c r="D104" s="174" t="s">
        <v>146</v>
      </c>
      <c r="E104" s="200" t="s">
        <v>305</v>
      </c>
      <c r="F104" s="202" t="s">
        <v>215</v>
      </c>
      <c r="G104" s="74">
        <v>16249.5</v>
      </c>
      <c r="H104" s="74">
        <f>11622+4684.2</f>
        <v>16306.2</v>
      </c>
      <c r="I104" s="74">
        <f>G104-H104</f>
        <v>-56.70000000000073</v>
      </c>
    </row>
    <row r="105" spans="1:9" s="32" customFormat="1" ht="15.75">
      <c r="A105" s="128" t="s">
        <v>107</v>
      </c>
      <c r="B105" s="107"/>
      <c r="C105" s="174" t="s">
        <v>180</v>
      </c>
      <c r="D105" s="174" t="s">
        <v>146</v>
      </c>
      <c r="E105" s="200" t="s">
        <v>305</v>
      </c>
      <c r="F105" s="202" t="s">
        <v>100</v>
      </c>
      <c r="G105" s="74">
        <f>G107+G106</f>
        <v>627.4</v>
      </c>
      <c r="H105" s="74">
        <f>H107+H106</f>
        <v>570.688</v>
      </c>
      <c r="I105" s="74">
        <f>I107+I106</f>
        <v>56.71199999999999</v>
      </c>
    </row>
    <row r="106" spans="1:9" s="32" customFormat="1" ht="15.75">
      <c r="A106" s="128" t="s">
        <v>351</v>
      </c>
      <c r="B106" s="107"/>
      <c r="C106" s="174" t="s">
        <v>180</v>
      </c>
      <c r="D106" s="174" t="s">
        <v>146</v>
      </c>
      <c r="E106" s="200" t="s">
        <v>305</v>
      </c>
      <c r="F106" s="202" t="s">
        <v>607</v>
      </c>
      <c r="G106" s="74">
        <v>5.4</v>
      </c>
      <c r="H106" s="74">
        <v>2.9</v>
      </c>
      <c r="I106" s="74">
        <f>G106-H106</f>
        <v>2.5000000000000004</v>
      </c>
    </row>
    <row r="107" spans="1:9" s="32" customFormat="1" ht="15.75">
      <c r="A107" s="128" t="s">
        <v>242</v>
      </c>
      <c r="B107" s="107"/>
      <c r="C107" s="174" t="s">
        <v>180</v>
      </c>
      <c r="D107" s="174" t="s">
        <v>146</v>
      </c>
      <c r="E107" s="200" t="s">
        <v>305</v>
      </c>
      <c r="F107" s="202" t="s">
        <v>243</v>
      </c>
      <c r="G107" s="74">
        <v>622</v>
      </c>
      <c r="H107" s="74">
        <f>465.89+36.398+65.5</f>
        <v>567.788</v>
      </c>
      <c r="I107" s="74">
        <f>G107-H107</f>
        <v>54.21199999999999</v>
      </c>
    </row>
    <row r="108" spans="1:9" s="32" customFormat="1" ht="16.5" customHeight="1">
      <c r="A108" s="112" t="s">
        <v>109</v>
      </c>
      <c r="B108" s="113"/>
      <c r="C108" s="174" t="s">
        <v>180</v>
      </c>
      <c r="D108" s="174" t="s">
        <v>146</v>
      </c>
      <c r="E108" s="200" t="s">
        <v>59</v>
      </c>
      <c r="F108" s="202"/>
      <c r="G108" s="74">
        <f>SUM(G109,G111)</f>
        <v>2521.2</v>
      </c>
      <c r="H108" s="74">
        <f>SUM(H109,H111)</f>
        <v>2521.2</v>
      </c>
      <c r="I108" s="74">
        <f>SUM(I109,I111)</f>
        <v>0</v>
      </c>
    </row>
    <row r="109" spans="1:9" s="32" customFormat="1" ht="15.75">
      <c r="A109" s="110" t="s">
        <v>264</v>
      </c>
      <c r="B109" s="111"/>
      <c r="C109" s="174" t="s">
        <v>180</v>
      </c>
      <c r="D109" s="174" t="s">
        <v>146</v>
      </c>
      <c r="E109" s="200" t="s">
        <v>59</v>
      </c>
      <c r="F109" s="202" t="s">
        <v>216</v>
      </c>
      <c r="G109" s="74">
        <f>G110</f>
        <v>2486.2</v>
      </c>
      <c r="H109" s="74">
        <f>H110</f>
        <v>2486.2</v>
      </c>
      <c r="I109" s="74">
        <f>I110</f>
        <v>0</v>
      </c>
    </row>
    <row r="110" spans="1:9" s="32" customFormat="1" ht="15.75">
      <c r="A110" s="110" t="s">
        <v>217</v>
      </c>
      <c r="B110" s="113"/>
      <c r="C110" s="174" t="s">
        <v>180</v>
      </c>
      <c r="D110" s="174" t="s">
        <v>146</v>
      </c>
      <c r="E110" s="200" t="s">
        <v>59</v>
      </c>
      <c r="F110" s="202" t="s">
        <v>215</v>
      </c>
      <c r="G110" s="74">
        <v>2486.2</v>
      </c>
      <c r="H110" s="74">
        <v>2486.2</v>
      </c>
      <c r="I110" s="74">
        <f>G110-H110</f>
        <v>0</v>
      </c>
    </row>
    <row r="111" spans="1:9" s="32" customFormat="1" ht="15.75">
      <c r="A111" s="128" t="s">
        <v>107</v>
      </c>
      <c r="B111" s="113"/>
      <c r="C111" s="174" t="s">
        <v>244</v>
      </c>
      <c r="D111" s="174" t="s">
        <v>146</v>
      </c>
      <c r="E111" s="200" t="s">
        <v>59</v>
      </c>
      <c r="F111" s="202" t="s">
        <v>100</v>
      </c>
      <c r="G111" s="74">
        <f>G112</f>
        <v>35</v>
      </c>
      <c r="H111" s="74">
        <f>H112</f>
        <v>35</v>
      </c>
      <c r="I111" s="74">
        <f>I112</f>
        <v>0</v>
      </c>
    </row>
    <row r="112" spans="1:9" s="32" customFormat="1" ht="15.75">
      <c r="A112" s="128" t="s">
        <v>242</v>
      </c>
      <c r="B112" s="113"/>
      <c r="C112" s="174" t="s">
        <v>180</v>
      </c>
      <c r="D112" s="174" t="s">
        <v>146</v>
      </c>
      <c r="E112" s="200" t="s">
        <v>59</v>
      </c>
      <c r="F112" s="202" t="s">
        <v>243</v>
      </c>
      <c r="G112" s="74">
        <v>35</v>
      </c>
      <c r="H112" s="74">
        <v>35</v>
      </c>
      <c r="I112" s="74">
        <f>G112-H112</f>
        <v>0</v>
      </c>
    </row>
    <row r="113" spans="1:9" s="32" customFormat="1" ht="15.75">
      <c r="A113" s="112" t="s">
        <v>680</v>
      </c>
      <c r="B113" s="113"/>
      <c r="C113" s="174" t="s">
        <v>180</v>
      </c>
      <c r="D113" s="174" t="s">
        <v>146</v>
      </c>
      <c r="E113" s="200" t="s">
        <v>679</v>
      </c>
      <c r="F113" s="202"/>
      <c r="G113" s="74">
        <f aca="true" t="shared" si="12" ref="G113:I114">G114</f>
        <v>357.35</v>
      </c>
      <c r="H113" s="74">
        <f t="shared" si="12"/>
        <v>357.35</v>
      </c>
      <c r="I113" s="74">
        <f t="shared" si="12"/>
        <v>0</v>
      </c>
    </row>
    <row r="114" spans="1:9" s="32" customFormat="1" ht="25.5">
      <c r="A114" s="110" t="s">
        <v>139</v>
      </c>
      <c r="B114" s="111"/>
      <c r="C114" s="174" t="s">
        <v>180</v>
      </c>
      <c r="D114" s="174" t="s">
        <v>146</v>
      </c>
      <c r="E114" s="200" t="s">
        <v>679</v>
      </c>
      <c r="F114" s="202" t="s">
        <v>228</v>
      </c>
      <c r="G114" s="74">
        <f t="shared" si="12"/>
        <v>357.35</v>
      </c>
      <c r="H114" s="74">
        <f t="shared" si="12"/>
        <v>357.35</v>
      </c>
      <c r="I114" s="74">
        <f t="shared" si="12"/>
        <v>0</v>
      </c>
    </row>
    <row r="115" spans="1:9" s="32" customFormat="1" ht="15.75">
      <c r="A115" s="110" t="s">
        <v>307</v>
      </c>
      <c r="B115" s="113"/>
      <c r="C115" s="174" t="s">
        <v>180</v>
      </c>
      <c r="D115" s="174" t="s">
        <v>146</v>
      </c>
      <c r="E115" s="200" t="s">
        <v>679</v>
      </c>
      <c r="F115" s="202" t="s">
        <v>306</v>
      </c>
      <c r="G115" s="74">
        <f>274.462+82.888</f>
        <v>357.35</v>
      </c>
      <c r="H115" s="74">
        <f>274.462+82.888</f>
        <v>357.35</v>
      </c>
      <c r="I115" s="74">
        <f>G115-H115</f>
        <v>0</v>
      </c>
    </row>
    <row r="116" spans="1:9" s="32" customFormat="1" ht="15.75">
      <c r="A116" s="129" t="s">
        <v>349</v>
      </c>
      <c r="B116" s="115"/>
      <c r="C116" s="173" t="s">
        <v>180</v>
      </c>
      <c r="D116" s="173" t="s">
        <v>146</v>
      </c>
      <c r="E116" s="212" t="s">
        <v>348</v>
      </c>
      <c r="F116" s="203"/>
      <c r="G116" s="78">
        <f>G117+G121</f>
        <v>660</v>
      </c>
      <c r="H116" s="78">
        <f>H117+H121</f>
        <v>660</v>
      </c>
      <c r="I116" s="78">
        <f>I117+I121</f>
        <v>0</v>
      </c>
    </row>
    <row r="117" spans="1:9" s="32" customFormat="1" ht="15.75">
      <c r="A117" s="112" t="s">
        <v>288</v>
      </c>
      <c r="B117" s="113"/>
      <c r="C117" s="174" t="s">
        <v>180</v>
      </c>
      <c r="D117" s="174" t="s">
        <v>146</v>
      </c>
      <c r="E117" s="208" t="s">
        <v>350</v>
      </c>
      <c r="F117" s="213"/>
      <c r="G117" s="74">
        <f>G118</f>
        <v>500</v>
      </c>
      <c r="H117" s="74">
        <f>H118</f>
        <v>500</v>
      </c>
      <c r="I117" s="74">
        <f>SUM(I118)</f>
        <v>0</v>
      </c>
    </row>
    <row r="118" spans="1:9" s="32" customFormat="1" ht="15.75">
      <c r="A118" s="130" t="s">
        <v>107</v>
      </c>
      <c r="B118" s="113"/>
      <c r="C118" s="174" t="s">
        <v>180</v>
      </c>
      <c r="D118" s="174" t="s">
        <v>146</v>
      </c>
      <c r="E118" s="208" t="s">
        <v>350</v>
      </c>
      <c r="F118" s="213">
        <v>800</v>
      </c>
      <c r="G118" s="74">
        <f>G119+G120</f>
        <v>500</v>
      </c>
      <c r="H118" s="74">
        <f>H119+H120</f>
        <v>500</v>
      </c>
      <c r="I118" s="74">
        <f>I119+I120</f>
        <v>0</v>
      </c>
    </row>
    <row r="119" spans="1:9" s="32" customFormat="1" ht="15.75">
      <c r="A119" s="130" t="s">
        <v>351</v>
      </c>
      <c r="B119" s="113"/>
      <c r="C119" s="174" t="s">
        <v>180</v>
      </c>
      <c r="D119" s="174" t="s">
        <v>146</v>
      </c>
      <c r="E119" s="208" t="s">
        <v>350</v>
      </c>
      <c r="F119" s="213">
        <v>830</v>
      </c>
      <c r="G119" s="74">
        <v>120</v>
      </c>
      <c r="H119" s="74">
        <v>120</v>
      </c>
      <c r="I119" s="74">
        <f>G119-H119</f>
        <v>0</v>
      </c>
    </row>
    <row r="120" spans="1:9" s="32" customFormat="1" ht="15.75">
      <c r="A120" s="128" t="s">
        <v>242</v>
      </c>
      <c r="B120" s="113"/>
      <c r="C120" s="174" t="s">
        <v>180</v>
      </c>
      <c r="D120" s="174" t="s">
        <v>146</v>
      </c>
      <c r="E120" s="208" t="s">
        <v>350</v>
      </c>
      <c r="F120" s="213">
        <v>850</v>
      </c>
      <c r="G120" s="74">
        <v>380</v>
      </c>
      <c r="H120" s="74">
        <v>380</v>
      </c>
      <c r="I120" s="74">
        <f>G120-H120</f>
        <v>0</v>
      </c>
    </row>
    <row r="121" spans="1:9" s="32" customFormat="1" ht="15.75">
      <c r="A121" s="112" t="s">
        <v>490</v>
      </c>
      <c r="B121" s="113"/>
      <c r="C121" s="174" t="s">
        <v>180</v>
      </c>
      <c r="D121" s="174" t="s">
        <v>146</v>
      </c>
      <c r="E121" s="208" t="s">
        <v>681</v>
      </c>
      <c r="F121" s="213"/>
      <c r="G121" s="74">
        <f>G122</f>
        <v>160</v>
      </c>
      <c r="H121" s="74">
        <f>H122</f>
        <v>160</v>
      </c>
      <c r="I121" s="74">
        <f>SUM(I122)</f>
        <v>0</v>
      </c>
    </row>
    <row r="122" spans="1:9" s="32" customFormat="1" ht="15.75">
      <c r="A122" s="110" t="s">
        <v>264</v>
      </c>
      <c r="B122" s="113"/>
      <c r="C122" s="174" t="s">
        <v>180</v>
      </c>
      <c r="D122" s="174" t="s">
        <v>146</v>
      </c>
      <c r="E122" s="208" t="s">
        <v>681</v>
      </c>
      <c r="F122" s="213">
        <v>200</v>
      </c>
      <c r="G122" s="74">
        <f>G123</f>
        <v>160</v>
      </c>
      <c r="H122" s="74">
        <f>H123</f>
        <v>160</v>
      </c>
      <c r="I122" s="74">
        <f>I123</f>
        <v>0</v>
      </c>
    </row>
    <row r="123" spans="1:9" s="32" customFormat="1" ht="15.75">
      <c r="A123" s="110" t="s">
        <v>217</v>
      </c>
      <c r="B123" s="113"/>
      <c r="C123" s="174" t="s">
        <v>180</v>
      </c>
      <c r="D123" s="174" t="s">
        <v>146</v>
      </c>
      <c r="E123" s="208" t="s">
        <v>681</v>
      </c>
      <c r="F123" s="213">
        <v>240</v>
      </c>
      <c r="G123" s="74">
        <v>160</v>
      </c>
      <c r="H123" s="74">
        <v>160</v>
      </c>
      <c r="I123" s="74">
        <f>G123-H123</f>
        <v>0</v>
      </c>
    </row>
    <row r="124" spans="1:9" s="32" customFormat="1" ht="15.75">
      <c r="A124" s="131" t="s">
        <v>151</v>
      </c>
      <c r="B124" s="107"/>
      <c r="C124" s="173" t="s">
        <v>181</v>
      </c>
      <c r="D124" s="174"/>
      <c r="E124" s="200" t="s">
        <v>201</v>
      </c>
      <c r="F124" s="174"/>
      <c r="G124" s="78">
        <f aca="true" t="shared" si="13" ref="G124:I125">G125</f>
        <v>2773.8</v>
      </c>
      <c r="H124" s="78">
        <f t="shared" si="13"/>
        <v>2773.8</v>
      </c>
      <c r="I124" s="78">
        <f t="shared" si="13"/>
        <v>0</v>
      </c>
    </row>
    <row r="125" spans="1:9" s="32" customFormat="1" ht="15" customHeight="1">
      <c r="A125" s="131" t="s">
        <v>514</v>
      </c>
      <c r="B125" s="113"/>
      <c r="C125" s="173" t="s">
        <v>181</v>
      </c>
      <c r="D125" s="173" t="s">
        <v>194</v>
      </c>
      <c r="E125" s="201" t="s">
        <v>201</v>
      </c>
      <c r="F125" s="203" t="s">
        <v>201</v>
      </c>
      <c r="G125" s="78">
        <f t="shared" si="13"/>
        <v>2773.8</v>
      </c>
      <c r="H125" s="78">
        <f t="shared" si="13"/>
        <v>2773.8</v>
      </c>
      <c r="I125" s="78">
        <f t="shared" si="13"/>
        <v>0</v>
      </c>
    </row>
    <row r="126" spans="1:9" s="34" customFormat="1" ht="15" customHeight="1">
      <c r="A126" s="131" t="s">
        <v>524</v>
      </c>
      <c r="B126" s="113"/>
      <c r="C126" s="173" t="s">
        <v>181</v>
      </c>
      <c r="D126" s="173" t="s">
        <v>194</v>
      </c>
      <c r="E126" s="201" t="s">
        <v>60</v>
      </c>
      <c r="F126" s="203"/>
      <c r="G126" s="78">
        <f>G127+G134</f>
        <v>2773.8</v>
      </c>
      <c r="H126" s="78">
        <f>H127+H134</f>
        <v>2773.8</v>
      </c>
      <c r="I126" s="78">
        <f>I127+I134</f>
        <v>0</v>
      </c>
    </row>
    <row r="127" spans="1:9" s="34" customFormat="1" ht="25.5">
      <c r="A127" s="131" t="s">
        <v>546</v>
      </c>
      <c r="B127" s="115"/>
      <c r="C127" s="173" t="s">
        <v>181</v>
      </c>
      <c r="D127" s="173" t="s">
        <v>194</v>
      </c>
      <c r="E127" s="201" t="s">
        <v>381</v>
      </c>
      <c r="F127" s="203"/>
      <c r="G127" s="78">
        <f>G128</f>
        <v>2743.8</v>
      </c>
      <c r="H127" s="78">
        <f>H128</f>
        <v>2743.8</v>
      </c>
      <c r="I127" s="78">
        <f>I128</f>
        <v>0</v>
      </c>
    </row>
    <row r="128" spans="1:9" s="32" customFormat="1" ht="15.75">
      <c r="A128" s="108" t="s">
        <v>127</v>
      </c>
      <c r="B128" s="113"/>
      <c r="C128" s="174" t="s">
        <v>181</v>
      </c>
      <c r="D128" s="174" t="s">
        <v>194</v>
      </c>
      <c r="E128" s="200" t="s">
        <v>545</v>
      </c>
      <c r="F128" s="202"/>
      <c r="G128" s="74">
        <f>G129+G131</f>
        <v>2743.8</v>
      </c>
      <c r="H128" s="74">
        <f>H129+H131</f>
        <v>2743.8</v>
      </c>
      <c r="I128" s="74">
        <f>I129+I131</f>
        <v>0</v>
      </c>
    </row>
    <row r="129" spans="1:9" s="32" customFormat="1" ht="15.75">
      <c r="A129" s="132" t="s">
        <v>264</v>
      </c>
      <c r="B129" s="111"/>
      <c r="C129" s="174" t="s">
        <v>181</v>
      </c>
      <c r="D129" s="174" t="s">
        <v>194</v>
      </c>
      <c r="E129" s="200" t="s">
        <v>545</v>
      </c>
      <c r="F129" s="202" t="s">
        <v>228</v>
      </c>
      <c r="G129" s="74">
        <f>G130</f>
        <v>2723.8</v>
      </c>
      <c r="H129" s="74">
        <f>H130</f>
        <v>2723.8</v>
      </c>
      <c r="I129" s="74">
        <f>I130</f>
        <v>0</v>
      </c>
    </row>
    <row r="130" spans="1:9" s="32" customFormat="1" ht="15.75">
      <c r="A130" s="132" t="s">
        <v>217</v>
      </c>
      <c r="B130" s="113"/>
      <c r="C130" s="174" t="s">
        <v>181</v>
      </c>
      <c r="D130" s="174" t="s">
        <v>194</v>
      </c>
      <c r="E130" s="200" t="s">
        <v>545</v>
      </c>
      <c r="F130" s="202" t="s">
        <v>306</v>
      </c>
      <c r="G130" s="74">
        <f>2099.9+623.9</f>
        <v>2723.8</v>
      </c>
      <c r="H130" s="74">
        <f>2099.9+623.9</f>
        <v>2723.8</v>
      </c>
      <c r="I130" s="74">
        <f>G130-H130</f>
        <v>0</v>
      </c>
    </row>
    <row r="131" spans="1:9" s="32" customFormat="1" ht="24.75" customHeight="1">
      <c r="A131" s="122" t="s">
        <v>662</v>
      </c>
      <c r="B131" s="113"/>
      <c r="C131" s="174" t="s">
        <v>181</v>
      </c>
      <c r="D131" s="174" t="s">
        <v>194</v>
      </c>
      <c r="E131" s="200" t="s">
        <v>663</v>
      </c>
      <c r="F131" s="202"/>
      <c r="G131" s="74">
        <f aca="true" t="shared" si="14" ref="G131:I132">G132</f>
        <v>20</v>
      </c>
      <c r="H131" s="74">
        <f t="shared" si="14"/>
        <v>20</v>
      </c>
      <c r="I131" s="74">
        <f t="shared" si="14"/>
        <v>0</v>
      </c>
    </row>
    <row r="132" spans="1:9" s="32" customFormat="1" ht="15.75">
      <c r="A132" s="132" t="s">
        <v>264</v>
      </c>
      <c r="B132" s="113"/>
      <c r="C132" s="174" t="s">
        <v>181</v>
      </c>
      <c r="D132" s="174" t="s">
        <v>194</v>
      </c>
      <c r="E132" s="200" t="s">
        <v>663</v>
      </c>
      <c r="F132" s="202" t="s">
        <v>216</v>
      </c>
      <c r="G132" s="74">
        <f t="shared" si="14"/>
        <v>20</v>
      </c>
      <c r="H132" s="74">
        <f t="shared" si="14"/>
        <v>20</v>
      </c>
      <c r="I132" s="74">
        <f t="shared" si="14"/>
        <v>0</v>
      </c>
    </row>
    <row r="133" spans="1:9" s="32" customFormat="1" ht="15.75">
      <c r="A133" s="132" t="s">
        <v>217</v>
      </c>
      <c r="B133" s="113"/>
      <c r="C133" s="174" t="s">
        <v>181</v>
      </c>
      <c r="D133" s="174" t="s">
        <v>194</v>
      </c>
      <c r="E133" s="200" t="s">
        <v>663</v>
      </c>
      <c r="F133" s="202" t="s">
        <v>215</v>
      </c>
      <c r="G133" s="74">
        <v>20</v>
      </c>
      <c r="H133" s="74">
        <v>20</v>
      </c>
      <c r="I133" s="74">
        <f>G133-H133</f>
        <v>0</v>
      </c>
    </row>
    <row r="134" spans="1:9" s="32" customFormat="1" ht="15.75">
      <c r="A134" s="118" t="s">
        <v>61</v>
      </c>
      <c r="B134" s="115"/>
      <c r="C134" s="173" t="s">
        <v>181</v>
      </c>
      <c r="D134" s="173" t="s">
        <v>194</v>
      </c>
      <c r="E134" s="201" t="s">
        <v>62</v>
      </c>
      <c r="F134" s="203"/>
      <c r="G134" s="78">
        <f>G135</f>
        <v>30</v>
      </c>
      <c r="H134" s="78">
        <f>H135</f>
        <v>30</v>
      </c>
      <c r="I134" s="78">
        <f>I135</f>
        <v>0</v>
      </c>
    </row>
    <row r="135" spans="1:9" s="32" customFormat="1" ht="15.75">
      <c r="A135" s="133" t="s">
        <v>64</v>
      </c>
      <c r="B135" s="113"/>
      <c r="C135" s="174" t="s">
        <v>181</v>
      </c>
      <c r="D135" s="174" t="s">
        <v>194</v>
      </c>
      <c r="E135" s="200" t="s">
        <v>63</v>
      </c>
      <c r="F135" s="202"/>
      <c r="G135" s="74">
        <f>SUM(G136)</f>
        <v>30</v>
      </c>
      <c r="H135" s="74">
        <f>SUM(H136)</f>
        <v>30</v>
      </c>
      <c r="I135" s="74">
        <f>SUM(I136)</f>
        <v>0</v>
      </c>
    </row>
    <row r="136" spans="1:9" s="32" customFormat="1" ht="15.75">
      <c r="A136" s="132" t="s">
        <v>264</v>
      </c>
      <c r="B136" s="111"/>
      <c r="C136" s="174" t="s">
        <v>181</v>
      </c>
      <c r="D136" s="174" t="s">
        <v>194</v>
      </c>
      <c r="E136" s="200" t="s">
        <v>63</v>
      </c>
      <c r="F136" s="202" t="s">
        <v>216</v>
      </c>
      <c r="G136" s="74">
        <f>G137</f>
        <v>30</v>
      </c>
      <c r="H136" s="74">
        <f>H137</f>
        <v>30</v>
      </c>
      <c r="I136" s="74">
        <f>I137</f>
        <v>0</v>
      </c>
    </row>
    <row r="137" spans="1:9" s="32" customFormat="1" ht="15.75">
      <c r="A137" s="132" t="s">
        <v>217</v>
      </c>
      <c r="B137" s="113"/>
      <c r="C137" s="174" t="s">
        <v>181</v>
      </c>
      <c r="D137" s="174" t="s">
        <v>194</v>
      </c>
      <c r="E137" s="200" t="s">
        <v>63</v>
      </c>
      <c r="F137" s="202" t="s">
        <v>215</v>
      </c>
      <c r="G137" s="74">
        <v>30</v>
      </c>
      <c r="H137" s="74">
        <v>30</v>
      </c>
      <c r="I137" s="74">
        <f>G137-H137</f>
        <v>0</v>
      </c>
    </row>
    <row r="138" spans="1:9" s="32" customFormat="1" ht="15.75">
      <c r="A138" s="106" t="s">
        <v>210</v>
      </c>
      <c r="B138" s="111"/>
      <c r="C138" s="173" t="s">
        <v>196</v>
      </c>
      <c r="D138" s="174"/>
      <c r="E138" s="200"/>
      <c r="F138" s="202"/>
      <c r="G138" s="78">
        <f>G139+G152+G163</f>
        <v>5079.200000000001</v>
      </c>
      <c r="H138" s="78">
        <f>H139+H152+H163</f>
        <v>5079.200000000001</v>
      </c>
      <c r="I138" s="78">
        <f>I139+I152+I163</f>
        <v>0</v>
      </c>
    </row>
    <row r="139" spans="1:9" s="36" customFormat="1" ht="15.75">
      <c r="A139" s="106" t="s">
        <v>176</v>
      </c>
      <c r="B139" s="107"/>
      <c r="C139" s="173" t="s">
        <v>196</v>
      </c>
      <c r="D139" s="173" t="s">
        <v>198</v>
      </c>
      <c r="E139" s="200"/>
      <c r="F139" s="202"/>
      <c r="G139" s="78">
        <f>G140</f>
        <v>2249.9</v>
      </c>
      <c r="H139" s="78">
        <f>H140</f>
        <v>2249.9</v>
      </c>
      <c r="I139" s="78">
        <f>I140</f>
        <v>0</v>
      </c>
    </row>
    <row r="140" spans="1:9" s="32" customFormat="1" ht="15.75">
      <c r="A140" s="106" t="s">
        <v>410</v>
      </c>
      <c r="B140" s="107"/>
      <c r="C140" s="173" t="s">
        <v>196</v>
      </c>
      <c r="D140" s="173" t="s">
        <v>198</v>
      </c>
      <c r="E140" s="201" t="s">
        <v>4</v>
      </c>
      <c r="F140" s="202"/>
      <c r="G140" s="78">
        <f>G149+G144+G141</f>
        <v>2249.9</v>
      </c>
      <c r="H140" s="78">
        <f>H149+H144+H141</f>
        <v>2249.9</v>
      </c>
      <c r="I140" s="78">
        <f>I149+I144+I141</f>
        <v>0</v>
      </c>
    </row>
    <row r="141" spans="1:9" s="32" customFormat="1" ht="15.75">
      <c r="A141" s="108" t="s">
        <v>288</v>
      </c>
      <c r="B141" s="111"/>
      <c r="C141" s="174" t="s">
        <v>196</v>
      </c>
      <c r="D141" s="174" t="s">
        <v>198</v>
      </c>
      <c r="E141" s="200" t="s">
        <v>460</v>
      </c>
      <c r="F141" s="202"/>
      <c r="G141" s="74">
        <f aca="true" t="shared" si="15" ref="G141:I142">G142</f>
        <v>5</v>
      </c>
      <c r="H141" s="74">
        <f t="shared" si="15"/>
        <v>5</v>
      </c>
      <c r="I141" s="74">
        <f t="shared" si="15"/>
        <v>0</v>
      </c>
    </row>
    <row r="142" spans="1:9" s="36" customFormat="1" ht="15.75">
      <c r="A142" s="110" t="s">
        <v>264</v>
      </c>
      <c r="B142" s="111"/>
      <c r="C142" s="174" t="s">
        <v>196</v>
      </c>
      <c r="D142" s="174" t="s">
        <v>198</v>
      </c>
      <c r="E142" s="200" t="s">
        <v>460</v>
      </c>
      <c r="F142" s="202" t="s">
        <v>216</v>
      </c>
      <c r="G142" s="74">
        <f t="shared" si="15"/>
        <v>5</v>
      </c>
      <c r="H142" s="74">
        <f t="shared" si="15"/>
        <v>5</v>
      </c>
      <c r="I142" s="74">
        <f t="shared" si="15"/>
        <v>0</v>
      </c>
    </row>
    <row r="143" spans="1:9" s="36" customFormat="1" ht="15.75">
      <c r="A143" s="110" t="s">
        <v>217</v>
      </c>
      <c r="B143" s="111"/>
      <c r="C143" s="174" t="s">
        <v>196</v>
      </c>
      <c r="D143" s="174" t="s">
        <v>198</v>
      </c>
      <c r="E143" s="200" t="s">
        <v>460</v>
      </c>
      <c r="F143" s="202" t="s">
        <v>215</v>
      </c>
      <c r="G143" s="74">
        <v>5</v>
      </c>
      <c r="H143" s="74">
        <v>5</v>
      </c>
      <c r="I143" s="74">
        <f>G143-H143</f>
        <v>0</v>
      </c>
    </row>
    <row r="144" spans="1:9" s="36" customFormat="1" ht="15.75">
      <c r="A144" s="112" t="s">
        <v>119</v>
      </c>
      <c r="B144" s="111"/>
      <c r="C144" s="174" t="s">
        <v>196</v>
      </c>
      <c r="D144" s="174" t="s">
        <v>198</v>
      </c>
      <c r="E144" s="200" t="s">
        <v>5</v>
      </c>
      <c r="F144" s="202"/>
      <c r="G144" s="74">
        <f>G147+G145</f>
        <v>2129.9</v>
      </c>
      <c r="H144" s="74">
        <f>H147+H145</f>
        <v>2129.9</v>
      </c>
      <c r="I144" s="363">
        <f>I147+I145</f>
        <v>0</v>
      </c>
    </row>
    <row r="145" spans="1:9" s="36" customFormat="1" ht="15.75">
      <c r="A145" s="110" t="s">
        <v>264</v>
      </c>
      <c r="B145" s="111"/>
      <c r="C145" s="174" t="s">
        <v>196</v>
      </c>
      <c r="D145" s="174" t="s">
        <v>198</v>
      </c>
      <c r="E145" s="200" t="s">
        <v>5</v>
      </c>
      <c r="F145" s="202" t="s">
        <v>216</v>
      </c>
      <c r="G145" s="74">
        <f>G146</f>
        <v>97.9</v>
      </c>
      <c r="H145" s="74">
        <f>H146</f>
        <v>97.9</v>
      </c>
      <c r="I145" s="74">
        <f>I146</f>
        <v>0</v>
      </c>
    </row>
    <row r="146" spans="1:9" s="36" customFormat="1" ht="15.75">
      <c r="A146" s="110" t="s">
        <v>217</v>
      </c>
      <c r="B146" s="111"/>
      <c r="C146" s="174" t="s">
        <v>196</v>
      </c>
      <c r="D146" s="174" t="s">
        <v>198</v>
      </c>
      <c r="E146" s="200" t="s">
        <v>5</v>
      </c>
      <c r="F146" s="202" t="s">
        <v>215</v>
      </c>
      <c r="G146" s="74">
        <v>97.9</v>
      </c>
      <c r="H146" s="74">
        <v>97.9</v>
      </c>
      <c r="I146" s="74">
        <f>G146-H146</f>
        <v>0</v>
      </c>
    </row>
    <row r="147" spans="1:9" s="36" customFormat="1" ht="15.75">
      <c r="A147" s="112" t="s">
        <v>107</v>
      </c>
      <c r="B147" s="111"/>
      <c r="C147" s="174" t="s">
        <v>196</v>
      </c>
      <c r="D147" s="174" t="s">
        <v>198</v>
      </c>
      <c r="E147" s="200" t="s">
        <v>5</v>
      </c>
      <c r="F147" s="202" t="s">
        <v>100</v>
      </c>
      <c r="G147" s="74">
        <f>G148</f>
        <v>2032</v>
      </c>
      <c r="H147" s="74">
        <f>H148</f>
        <v>2032</v>
      </c>
      <c r="I147" s="74">
        <f>I148</f>
        <v>0</v>
      </c>
    </row>
    <row r="148" spans="1:9" s="36" customFormat="1" ht="25.5">
      <c r="A148" s="112" t="s">
        <v>266</v>
      </c>
      <c r="B148" s="111"/>
      <c r="C148" s="174" t="s">
        <v>196</v>
      </c>
      <c r="D148" s="174" t="s">
        <v>198</v>
      </c>
      <c r="E148" s="200" t="s">
        <v>5</v>
      </c>
      <c r="F148" s="202" t="s">
        <v>101</v>
      </c>
      <c r="G148" s="74">
        <f>832+1200</f>
        <v>2032</v>
      </c>
      <c r="H148" s="74">
        <f>832+1200</f>
        <v>2032</v>
      </c>
      <c r="I148" s="74">
        <f>G148-H148</f>
        <v>0</v>
      </c>
    </row>
    <row r="149" spans="1:9" s="32" customFormat="1" ht="15.75">
      <c r="A149" s="108" t="s">
        <v>113</v>
      </c>
      <c r="B149" s="111"/>
      <c r="C149" s="174" t="s">
        <v>196</v>
      </c>
      <c r="D149" s="174" t="s">
        <v>198</v>
      </c>
      <c r="E149" s="200" t="s">
        <v>6</v>
      </c>
      <c r="F149" s="202"/>
      <c r="G149" s="74">
        <f aca="true" t="shared" si="16" ref="G149:I150">G150</f>
        <v>115</v>
      </c>
      <c r="H149" s="74">
        <f t="shared" si="16"/>
        <v>115</v>
      </c>
      <c r="I149" s="74">
        <f t="shared" si="16"/>
        <v>0</v>
      </c>
    </row>
    <row r="150" spans="1:9" s="32" customFormat="1" ht="15.75">
      <c r="A150" s="110" t="s">
        <v>264</v>
      </c>
      <c r="B150" s="111"/>
      <c r="C150" s="174" t="s">
        <v>196</v>
      </c>
      <c r="D150" s="174" t="s">
        <v>198</v>
      </c>
      <c r="E150" s="200" t="s">
        <v>6</v>
      </c>
      <c r="F150" s="202" t="s">
        <v>216</v>
      </c>
      <c r="G150" s="74">
        <f t="shared" si="16"/>
        <v>115</v>
      </c>
      <c r="H150" s="74">
        <f t="shared" si="16"/>
        <v>115</v>
      </c>
      <c r="I150" s="74">
        <f t="shared" si="16"/>
        <v>0</v>
      </c>
    </row>
    <row r="151" spans="1:9" s="32" customFormat="1" ht="15.75">
      <c r="A151" s="110" t="s">
        <v>217</v>
      </c>
      <c r="B151" s="111"/>
      <c r="C151" s="174" t="s">
        <v>196</v>
      </c>
      <c r="D151" s="174" t="s">
        <v>198</v>
      </c>
      <c r="E151" s="200" t="s">
        <v>6</v>
      </c>
      <c r="F151" s="202" t="s">
        <v>215</v>
      </c>
      <c r="G151" s="74">
        <v>115</v>
      </c>
      <c r="H151" s="74">
        <v>115</v>
      </c>
      <c r="I151" s="74">
        <f>G151-H151</f>
        <v>0</v>
      </c>
    </row>
    <row r="152" spans="1:9" s="32" customFormat="1" ht="15.75" customHeight="1">
      <c r="A152" s="106" t="s">
        <v>199</v>
      </c>
      <c r="B152" s="107"/>
      <c r="C152" s="173" t="s">
        <v>196</v>
      </c>
      <c r="D152" s="173" t="s">
        <v>183</v>
      </c>
      <c r="E152" s="201"/>
      <c r="F152" s="203"/>
      <c r="G152" s="78">
        <f>G153</f>
        <v>2509.3</v>
      </c>
      <c r="H152" s="78">
        <f>H153</f>
        <v>2509.3</v>
      </c>
      <c r="I152" s="78">
        <f>I153</f>
        <v>0</v>
      </c>
    </row>
    <row r="153" spans="1:9" s="32" customFormat="1" ht="15.75">
      <c r="A153" s="106" t="s">
        <v>300</v>
      </c>
      <c r="B153" s="107"/>
      <c r="C153" s="173" t="s">
        <v>196</v>
      </c>
      <c r="D153" s="173" t="s">
        <v>183</v>
      </c>
      <c r="E153" s="201" t="s">
        <v>21</v>
      </c>
      <c r="F153" s="203"/>
      <c r="G153" s="78">
        <f>G154+G160+G157</f>
        <v>2509.3</v>
      </c>
      <c r="H153" s="78">
        <f>H154+H160+H157</f>
        <v>2509.3</v>
      </c>
      <c r="I153" s="78">
        <f>I154+I160+I157</f>
        <v>0</v>
      </c>
    </row>
    <row r="154" spans="1:9" s="32" customFormat="1" ht="15.75">
      <c r="A154" s="112" t="s">
        <v>288</v>
      </c>
      <c r="B154" s="111"/>
      <c r="C154" s="174" t="s">
        <v>196</v>
      </c>
      <c r="D154" s="174" t="s">
        <v>183</v>
      </c>
      <c r="E154" s="200" t="s">
        <v>554</v>
      </c>
      <c r="F154" s="202"/>
      <c r="G154" s="74">
        <f aca="true" t="shared" si="17" ref="G154:I155">G155</f>
        <v>70</v>
      </c>
      <c r="H154" s="74">
        <f t="shared" si="17"/>
        <v>70</v>
      </c>
      <c r="I154" s="74">
        <f t="shared" si="17"/>
        <v>0</v>
      </c>
    </row>
    <row r="155" spans="1:9" ht="15.75">
      <c r="A155" s="110" t="s">
        <v>264</v>
      </c>
      <c r="B155" s="111"/>
      <c r="C155" s="174" t="s">
        <v>196</v>
      </c>
      <c r="D155" s="174" t="s">
        <v>183</v>
      </c>
      <c r="E155" s="200" t="s">
        <v>554</v>
      </c>
      <c r="F155" s="202" t="s">
        <v>216</v>
      </c>
      <c r="G155" s="74">
        <f t="shared" si="17"/>
        <v>70</v>
      </c>
      <c r="H155" s="74">
        <f t="shared" si="17"/>
        <v>70</v>
      </c>
      <c r="I155" s="74">
        <f t="shared" si="17"/>
        <v>0</v>
      </c>
    </row>
    <row r="156" spans="1:9" ht="20.25" customHeight="1">
      <c r="A156" s="110" t="s">
        <v>217</v>
      </c>
      <c r="B156" s="111"/>
      <c r="C156" s="174" t="s">
        <v>196</v>
      </c>
      <c r="D156" s="174" t="s">
        <v>183</v>
      </c>
      <c r="E156" s="200" t="s">
        <v>554</v>
      </c>
      <c r="F156" s="202" t="s">
        <v>215</v>
      </c>
      <c r="G156" s="74">
        <v>70</v>
      </c>
      <c r="H156" s="74">
        <v>70</v>
      </c>
      <c r="I156" s="74">
        <f>G156-H156</f>
        <v>0</v>
      </c>
    </row>
    <row r="157" spans="1:9" s="32" customFormat="1" ht="15" customHeight="1">
      <c r="A157" s="112" t="s">
        <v>588</v>
      </c>
      <c r="B157" s="111"/>
      <c r="C157" s="174" t="s">
        <v>196</v>
      </c>
      <c r="D157" s="174" t="s">
        <v>183</v>
      </c>
      <c r="E157" s="200" t="s">
        <v>587</v>
      </c>
      <c r="F157" s="202"/>
      <c r="G157" s="74">
        <f aca="true" t="shared" si="18" ref="G157:I158">G158</f>
        <v>2399.3</v>
      </c>
      <c r="H157" s="74">
        <f t="shared" si="18"/>
        <v>2399.3</v>
      </c>
      <c r="I157" s="74">
        <f t="shared" si="18"/>
        <v>0</v>
      </c>
    </row>
    <row r="158" spans="1:9" ht="15.75">
      <c r="A158" s="110" t="s">
        <v>264</v>
      </c>
      <c r="B158" s="111"/>
      <c r="C158" s="174" t="s">
        <v>196</v>
      </c>
      <c r="D158" s="174" t="s">
        <v>183</v>
      </c>
      <c r="E158" s="200" t="s">
        <v>587</v>
      </c>
      <c r="F158" s="202" t="s">
        <v>216</v>
      </c>
      <c r="G158" s="74">
        <f t="shared" si="18"/>
        <v>2399.3</v>
      </c>
      <c r="H158" s="74">
        <f t="shared" si="18"/>
        <v>2399.3</v>
      </c>
      <c r="I158" s="74">
        <f t="shared" si="18"/>
        <v>0</v>
      </c>
    </row>
    <row r="159" spans="1:9" ht="20.25" customHeight="1">
      <c r="A159" s="110" t="s">
        <v>217</v>
      </c>
      <c r="B159" s="111"/>
      <c r="C159" s="174" t="s">
        <v>196</v>
      </c>
      <c r="D159" s="174" t="s">
        <v>183</v>
      </c>
      <c r="E159" s="200" t="s">
        <v>587</v>
      </c>
      <c r="F159" s="202" t="s">
        <v>215</v>
      </c>
      <c r="G159" s="74">
        <f>3774.3-1375</f>
        <v>2399.3</v>
      </c>
      <c r="H159" s="74">
        <f>3774.3-1375</f>
        <v>2399.3</v>
      </c>
      <c r="I159" s="74">
        <f>G159-H159</f>
        <v>0</v>
      </c>
    </row>
    <row r="160" spans="1:9" s="32" customFormat="1" ht="25.5">
      <c r="A160" s="112" t="s">
        <v>553</v>
      </c>
      <c r="B160" s="111"/>
      <c r="C160" s="174" t="s">
        <v>196</v>
      </c>
      <c r="D160" s="174" t="s">
        <v>183</v>
      </c>
      <c r="E160" s="200" t="s">
        <v>552</v>
      </c>
      <c r="F160" s="202"/>
      <c r="G160" s="74">
        <f aca="true" t="shared" si="19" ref="G160:I161">G161</f>
        <v>40</v>
      </c>
      <c r="H160" s="74">
        <f t="shared" si="19"/>
        <v>40</v>
      </c>
      <c r="I160" s="74">
        <f t="shared" si="19"/>
        <v>0</v>
      </c>
    </row>
    <row r="161" spans="1:9" ht="15.75">
      <c r="A161" s="110" t="s">
        <v>264</v>
      </c>
      <c r="B161" s="111"/>
      <c r="C161" s="174" t="s">
        <v>196</v>
      </c>
      <c r="D161" s="174" t="s">
        <v>183</v>
      </c>
      <c r="E161" s="200" t="s">
        <v>552</v>
      </c>
      <c r="F161" s="202" t="s">
        <v>216</v>
      </c>
      <c r="G161" s="74">
        <f t="shared" si="19"/>
        <v>40</v>
      </c>
      <c r="H161" s="74">
        <f t="shared" si="19"/>
        <v>40</v>
      </c>
      <c r="I161" s="74">
        <f t="shared" si="19"/>
        <v>0</v>
      </c>
    </row>
    <row r="162" spans="1:9" ht="20.25" customHeight="1">
      <c r="A162" s="110" t="s">
        <v>217</v>
      </c>
      <c r="B162" s="111"/>
      <c r="C162" s="174" t="s">
        <v>196</v>
      </c>
      <c r="D162" s="174" t="s">
        <v>183</v>
      </c>
      <c r="E162" s="200" t="s">
        <v>552</v>
      </c>
      <c r="F162" s="202" t="s">
        <v>215</v>
      </c>
      <c r="G162" s="74">
        <v>40</v>
      </c>
      <c r="H162" s="74">
        <v>40</v>
      </c>
      <c r="I162" s="74">
        <f>G162-H162</f>
        <v>0</v>
      </c>
    </row>
    <row r="163" spans="1:9" ht="14.25" customHeight="1">
      <c r="A163" s="134" t="s">
        <v>159</v>
      </c>
      <c r="B163" s="107"/>
      <c r="C163" s="173" t="s">
        <v>196</v>
      </c>
      <c r="D163" s="173" t="s">
        <v>188</v>
      </c>
      <c r="E163" s="201"/>
      <c r="F163" s="203"/>
      <c r="G163" s="78">
        <f aca="true" t="shared" si="20" ref="G163:I164">G164</f>
        <v>320</v>
      </c>
      <c r="H163" s="78">
        <f t="shared" si="20"/>
        <v>320</v>
      </c>
      <c r="I163" s="78">
        <f t="shared" si="20"/>
        <v>0</v>
      </c>
    </row>
    <row r="164" spans="1:9" s="32" customFormat="1" ht="25.5">
      <c r="A164" s="114" t="s">
        <v>345</v>
      </c>
      <c r="B164" s="115"/>
      <c r="C164" s="173" t="s">
        <v>196</v>
      </c>
      <c r="D164" s="173" t="s">
        <v>188</v>
      </c>
      <c r="E164" s="201" t="s">
        <v>15</v>
      </c>
      <c r="F164" s="203"/>
      <c r="G164" s="78">
        <f t="shared" si="20"/>
        <v>320</v>
      </c>
      <c r="H164" s="78">
        <f t="shared" si="20"/>
        <v>320</v>
      </c>
      <c r="I164" s="78">
        <f t="shared" si="20"/>
        <v>0</v>
      </c>
    </row>
    <row r="165" spans="1:9" s="32" customFormat="1" ht="15.75">
      <c r="A165" s="112" t="s">
        <v>110</v>
      </c>
      <c r="B165" s="113"/>
      <c r="C165" s="174" t="s">
        <v>196</v>
      </c>
      <c r="D165" s="174" t="s">
        <v>188</v>
      </c>
      <c r="E165" s="200" t="s">
        <v>16</v>
      </c>
      <c r="F165" s="202"/>
      <c r="G165" s="74">
        <f>G170+G166+G168</f>
        <v>320</v>
      </c>
      <c r="H165" s="74">
        <f>H170+H166+H168</f>
        <v>320</v>
      </c>
      <c r="I165" s="74">
        <f>I170+I166+I168</f>
        <v>0</v>
      </c>
    </row>
    <row r="166" spans="1:9" s="32" customFormat="1" ht="19.5" customHeight="1">
      <c r="A166" s="110" t="s">
        <v>264</v>
      </c>
      <c r="B166" s="113"/>
      <c r="C166" s="174" t="s">
        <v>196</v>
      </c>
      <c r="D166" s="174" t="s">
        <v>188</v>
      </c>
      <c r="E166" s="200" t="s">
        <v>16</v>
      </c>
      <c r="F166" s="202" t="s">
        <v>216</v>
      </c>
      <c r="G166" s="74">
        <f>G167</f>
        <v>110</v>
      </c>
      <c r="H166" s="74">
        <f>H167</f>
        <v>110</v>
      </c>
      <c r="I166" s="74">
        <f>I167</f>
        <v>0</v>
      </c>
    </row>
    <row r="167" spans="1:9" s="32" customFormat="1" ht="15.75">
      <c r="A167" s="110" t="s">
        <v>217</v>
      </c>
      <c r="B167" s="113"/>
      <c r="C167" s="174" t="s">
        <v>196</v>
      </c>
      <c r="D167" s="174" t="s">
        <v>188</v>
      </c>
      <c r="E167" s="200" t="s">
        <v>16</v>
      </c>
      <c r="F167" s="202" t="s">
        <v>215</v>
      </c>
      <c r="G167" s="74">
        <v>110</v>
      </c>
      <c r="H167" s="74">
        <v>110</v>
      </c>
      <c r="I167" s="74">
        <f>G167-H167</f>
        <v>0</v>
      </c>
    </row>
    <row r="168" spans="1:9" s="32" customFormat="1" ht="15.75">
      <c r="A168" s="128" t="s">
        <v>220</v>
      </c>
      <c r="B168" s="113"/>
      <c r="C168" s="174" t="s">
        <v>196</v>
      </c>
      <c r="D168" s="174" t="s">
        <v>188</v>
      </c>
      <c r="E168" s="200" t="s">
        <v>16</v>
      </c>
      <c r="F168" s="202" t="s">
        <v>206</v>
      </c>
      <c r="G168" s="74">
        <f>G169</f>
        <v>10</v>
      </c>
      <c r="H168" s="74">
        <f>H169</f>
        <v>10</v>
      </c>
      <c r="I168" s="74">
        <f>I169</f>
        <v>0</v>
      </c>
    </row>
    <row r="169" spans="1:9" s="32" customFormat="1" ht="15.75">
      <c r="A169" s="135" t="s">
        <v>221</v>
      </c>
      <c r="B169" s="113"/>
      <c r="C169" s="174" t="s">
        <v>196</v>
      </c>
      <c r="D169" s="174" t="s">
        <v>188</v>
      </c>
      <c r="E169" s="200" t="s">
        <v>16</v>
      </c>
      <c r="F169" s="202" t="s">
        <v>222</v>
      </c>
      <c r="G169" s="74">
        <v>10</v>
      </c>
      <c r="H169" s="74">
        <v>10</v>
      </c>
      <c r="I169" s="74">
        <f>G169-H169</f>
        <v>0</v>
      </c>
    </row>
    <row r="170" spans="1:9" s="32" customFormat="1" ht="15" customHeight="1">
      <c r="A170" s="112" t="s">
        <v>107</v>
      </c>
      <c r="B170" s="113"/>
      <c r="C170" s="174" t="s">
        <v>196</v>
      </c>
      <c r="D170" s="174" t="s">
        <v>188</v>
      </c>
      <c r="E170" s="200" t="s">
        <v>16</v>
      </c>
      <c r="F170" s="202" t="s">
        <v>100</v>
      </c>
      <c r="G170" s="74">
        <f>G171</f>
        <v>200</v>
      </c>
      <c r="H170" s="74">
        <f>H171</f>
        <v>200</v>
      </c>
      <c r="I170" s="74">
        <f>I171</f>
        <v>0</v>
      </c>
    </row>
    <row r="171" spans="1:9" s="34" customFormat="1" ht="25.5">
      <c r="A171" s="112" t="s">
        <v>266</v>
      </c>
      <c r="B171" s="113"/>
      <c r="C171" s="174" t="s">
        <v>196</v>
      </c>
      <c r="D171" s="174" t="s">
        <v>188</v>
      </c>
      <c r="E171" s="200" t="s">
        <v>16</v>
      </c>
      <c r="F171" s="202" t="s">
        <v>101</v>
      </c>
      <c r="G171" s="74">
        <v>200</v>
      </c>
      <c r="H171" s="74">
        <v>200</v>
      </c>
      <c r="I171" s="74">
        <f>G171-H171</f>
        <v>0</v>
      </c>
    </row>
    <row r="172" spans="1:9" s="32" customFormat="1" ht="15.75">
      <c r="A172" s="106" t="s">
        <v>178</v>
      </c>
      <c r="B172" s="137"/>
      <c r="C172" s="173" t="s">
        <v>150</v>
      </c>
      <c r="D172" s="173"/>
      <c r="E172" s="200"/>
      <c r="F172" s="202"/>
      <c r="G172" s="78">
        <f aca="true" t="shared" si="21" ref="G172:I173">G173</f>
        <v>1024.9</v>
      </c>
      <c r="H172" s="78">
        <f t="shared" si="21"/>
        <v>1024.9</v>
      </c>
      <c r="I172" s="78">
        <f t="shared" si="21"/>
        <v>0</v>
      </c>
    </row>
    <row r="173" spans="1:9" s="32" customFormat="1" ht="15.75">
      <c r="A173" s="129" t="s">
        <v>147</v>
      </c>
      <c r="B173" s="138"/>
      <c r="C173" s="173" t="s">
        <v>150</v>
      </c>
      <c r="D173" s="173" t="s">
        <v>181</v>
      </c>
      <c r="E173" s="201"/>
      <c r="F173" s="203"/>
      <c r="G173" s="78">
        <f t="shared" si="21"/>
        <v>1024.9</v>
      </c>
      <c r="H173" s="78">
        <f t="shared" si="21"/>
        <v>1024.9</v>
      </c>
      <c r="I173" s="78">
        <f t="shared" si="21"/>
        <v>0</v>
      </c>
    </row>
    <row r="174" spans="1:9" s="32" customFormat="1" ht="15.75">
      <c r="A174" s="106" t="s">
        <v>322</v>
      </c>
      <c r="B174" s="138"/>
      <c r="C174" s="173" t="s">
        <v>150</v>
      </c>
      <c r="D174" s="173" t="s">
        <v>181</v>
      </c>
      <c r="E174" s="201" t="s">
        <v>25</v>
      </c>
      <c r="F174" s="203"/>
      <c r="G174" s="78">
        <f aca="true" t="shared" si="22" ref="G174:I176">G176</f>
        <v>1024.9</v>
      </c>
      <c r="H174" s="78">
        <f>H176</f>
        <v>1024.9</v>
      </c>
      <c r="I174" s="78">
        <f t="shared" si="22"/>
        <v>0</v>
      </c>
    </row>
    <row r="175" spans="1:9" s="32" customFormat="1" ht="15.75">
      <c r="A175" s="125" t="s">
        <v>382</v>
      </c>
      <c r="B175" s="138"/>
      <c r="C175" s="173" t="s">
        <v>150</v>
      </c>
      <c r="D175" s="173" t="s">
        <v>181</v>
      </c>
      <c r="E175" s="201" t="s">
        <v>341</v>
      </c>
      <c r="F175" s="203"/>
      <c r="G175" s="78">
        <f t="shared" si="22"/>
        <v>1024.9</v>
      </c>
      <c r="H175" s="78">
        <f>H177</f>
        <v>1024.9</v>
      </c>
      <c r="I175" s="78">
        <f t="shared" si="22"/>
        <v>0</v>
      </c>
    </row>
    <row r="176" spans="1:9" s="34" customFormat="1" ht="15.75">
      <c r="A176" s="112" t="s">
        <v>343</v>
      </c>
      <c r="B176" s="137"/>
      <c r="C176" s="174" t="s">
        <v>150</v>
      </c>
      <c r="D176" s="174" t="s">
        <v>181</v>
      </c>
      <c r="E176" s="200" t="s">
        <v>342</v>
      </c>
      <c r="F176" s="202"/>
      <c r="G176" s="74">
        <f t="shared" si="22"/>
        <v>1024.9</v>
      </c>
      <c r="H176" s="74">
        <f>H178</f>
        <v>1024.9</v>
      </c>
      <c r="I176" s="74">
        <f t="shared" si="22"/>
        <v>0</v>
      </c>
    </row>
    <row r="177" spans="1:9" s="32" customFormat="1" ht="15.75">
      <c r="A177" s="112" t="s">
        <v>102</v>
      </c>
      <c r="B177" s="137"/>
      <c r="C177" s="174" t="s">
        <v>150</v>
      </c>
      <c r="D177" s="174" t="s">
        <v>181</v>
      </c>
      <c r="E177" s="200" t="s">
        <v>342</v>
      </c>
      <c r="F177" s="202" t="s">
        <v>98</v>
      </c>
      <c r="G177" s="74">
        <f>G178</f>
        <v>1024.9</v>
      </c>
      <c r="H177" s="74">
        <f>H178</f>
        <v>1024.9</v>
      </c>
      <c r="I177" s="74">
        <f>I178</f>
        <v>0</v>
      </c>
    </row>
    <row r="178" spans="1:9" s="32" customFormat="1" ht="15.75">
      <c r="A178" s="112" t="s">
        <v>97</v>
      </c>
      <c r="B178" s="137"/>
      <c r="C178" s="174" t="s">
        <v>150</v>
      </c>
      <c r="D178" s="174" t="s">
        <v>181</v>
      </c>
      <c r="E178" s="200" t="s">
        <v>342</v>
      </c>
      <c r="F178" s="202" t="s">
        <v>99</v>
      </c>
      <c r="G178" s="74">
        <f>220+785+232.9-213</f>
        <v>1024.9</v>
      </c>
      <c r="H178" s="74">
        <f>220+785+232.9-213</f>
        <v>1024.9</v>
      </c>
      <c r="I178" s="74">
        <f>G178-H178</f>
        <v>0</v>
      </c>
    </row>
    <row r="179" spans="1:9" s="32" customFormat="1" ht="15.75">
      <c r="A179" s="139" t="s">
        <v>414</v>
      </c>
      <c r="B179" s="140" t="s">
        <v>209</v>
      </c>
      <c r="C179" s="216"/>
      <c r="D179" s="216"/>
      <c r="E179" s="217"/>
      <c r="F179" s="218"/>
      <c r="G179" s="78">
        <f>G180+G200+G207+G222+G215</f>
        <v>76886.4</v>
      </c>
      <c r="H179" s="78">
        <f>H180+H200+H207+H222+H215</f>
        <v>76886.4</v>
      </c>
      <c r="I179" s="78">
        <f>I180+I200+I207+I222+I215</f>
        <v>0</v>
      </c>
    </row>
    <row r="180" spans="1:9" s="32" customFormat="1" ht="15.75">
      <c r="A180" s="106" t="s">
        <v>154</v>
      </c>
      <c r="B180" s="141"/>
      <c r="C180" s="173" t="s">
        <v>180</v>
      </c>
      <c r="D180" s="219"/>
      <c r="E180" s="220"/>
      <c r="F180" s="138"/>
      <c r="G180" s="78">
        <f>G181+G187+G195</f>
        <v>10482.5</v>
      </c>
      <c r="H180" s="78">
        <f>H181+H187+H195</f>
        <v>10482.5</v>
      </c>
      <c r="I180" s="78">
        <f>I181+I187+I195</f>
        <v>0</v>
      </c>
    </row>
    <row r="181" spans="1:9" s="32" customFormat="1" ht="26.25">
      <c r="A181" s="106" t="s">
        <v>238</v>
      </c>
      <c r="B181" s="141"/>
      <c r="C181" s="173" t="s">
        <v>180</v>
      </c>
      <c r="D181" s="173" t="s">
        <v>196</v>
      </c>
      <c r="E181" s="220"/>
      <c r="F181" s="138"/>
      <c r="G181" s="78">
        <f aca="true" t="shared" si="23" ref="G181:H185">G182</f>
        <v>175</v>
      </c>
      <c r="H181" s="78">
        <f t="shared" si="23"/>
        <v>175</v>
      </c>
      <c r="I181" s="78">
        <f>I182</f>
        <v>0</v>
      </c>
    </row>
    <row r="182" spans="1:9" s="32" customFormat="1" ht="15.75">
      <c r="A182" s="106" t="s">
        <v>392</v>
      </c>
      <c r="B182" s="141"/>
      <c r="C182" s="173" t="s">
        <v>180</v>
      </c>
      <c r="D182" s="173" t="s">
        <v>196</v>
      </c>
      <c r="E182" s="221" t="s">
        <v>11</v>
      </c>
      <c r="F182" s="138"/>
      <c r="G182" s="78">
        <f t="shared" si="23"/>
        <v>175</v>
      </c>
      <c r="H182" s="78">
        <f t="shared" si="23"/>
        <v>175</v>
      </c>
      <c r="I182" s="78">
        <f>I183</f>
        <v>0</v>
      </c>
    </row>
    <row r="183" spans="1:9" s="32" customFormat="1" ht="26.25">
      <c r="A183" s="108" t="s">
        <v>489</v>
      </c>
      <c r="B183" s="141"/>
      <c r="C183" s="173" t="s">
        <v>180</v>
      </c>
      <c r="D183" s="173" t="s">
        <v>196</v>
      </c>
      <c r="E183" s="201" t="s">
        <v>68</v>
      </c>
      <c r="F183" s="138"/>
      <c r="G183" s="78">
        <f t="shared" si="23"/>
        <v>175</v>
      </c>
      <c r="H183" s="78">
        <f t="shared" si="23"/>
        <v>175</v>
      </c>
      <c r="I183" s="78">
        <f>I184</f>
        <v>0</v>
      </c>
    </row>
    <row r="184" spans="1:9" s="32" customFormat="1" ht="15.75">
      <c r="A184" s="112" t="s">
        <v>116</v>
      </c>
      <c r="B184" s="141"/>
      <c r="C184" s="174" t="s">
        <v>180</v>
      </c>
      <c r="D184" s="174" t="s">
        <v>196</v>
      </c>
      <c r="E184" s="200" t="s">
        <v>449</v>
      </c>
      <c r="F184" s="138"/>
      <c r="G184" s="74">
        <f t="shared" si="23"/>
        <v>175</v>
      </c>
      <c r="H184" s="74">
        <f t="shared" si="23"/>
        <v>175</v>
      </c>
      <c r="I184" s="74">
        <f>I185</f>
        <v>0</v>
      </c>
    </row>
    <row r="185" spans="1:9" s="32" customFormat="1" ht="15.75">
      <c r="A185" s="112" t="s">
        <v>203</v>
      </c>
      <c r="B185" s="141"/>
      <c r="C185" s="174" t="s">
        <v>180</v>
      </c>
      <c r="D185" s="174" t="s">
        <v>196</v>
      </c>
      <c r="E185" s="200" t="s">
        <v>449</v>
      </c>
      <c r="F185" s="137">
        <v>500</v>
      </c>
      <c r="G185" s="74">
        <f t="shared" si="23"/>
        <v>175</v>
      </c>
      <c r="H185" s="74">
        <f t="shared" si="23"/>
        <v>175</v>
      </c>
      <c r="I185" s="74">
        <f>I186</f>
        <v>0</v>
      </c>
    </row>
    <row r="186" spans="1:9" s="32" customFormat="1" ht="15.75">
      <c r="A186" s="112" t="s">
        <v>106</v>
      </c>
      <c r="B186" s="141"/>
      <c r="C186" s="174" t="s">
        <v>180</v>
      </c>
      <c r="D186" s="174" t="s">
        <v>196</v>
      </c>
      <c r="E186" s="200" t="s">
        <v>449</v>
      </c>
      <c r="F186" s="137">
        <v>530</v>
      </c>
      <c r="G186" s="74">
        <v>175</v>
      </c>
      <c r="H186" s="74">
        <v>175</v>
      </c>
      <c r="I186" s="74">
        <f>G186-H186</f>
        <v>0</v>
      </c>
    </row>
    <row r="187" spans="1:9" s="32" customFormat="1" ht="26.25">
      <c r="A187" s="106" t="s">
        <v>177</v>
      </c>
      <c r="B187" s="111"/>
      <c r="C187" s="173" t="s">
        <v>180</v>
      </c>
      <c r="D187" s="173" t="s">
        <v>153</v>
      </c>
      <c r="E187" s="201" t="s">
        <v>201</v>
      </c>
      <c r="F187" s="203"/>
      <c r="G187" s="78">
        <f aca="true" t="shared" si="24" ref="G187:H189">G188</f>
        <v>10050.8</v>
      </c>
      <c r="H187" s="78">
        <f t="shared" si="24"/>
        <v>10050.8</v>
      </c>
      <c r="I187" s="78">
        <f>I188</f>
        <v>0</v>
      </c>
    </row>
    <row r="188" spans="1:9" s="32" customFormat="1" ht="15.75">
      <c r="A188" s="106" t="s">
        <v>396</v>
      </c>
      <c r="B188" s="141"/>
      <c r="C188" s="173" t="s">
        <v>180</v>
      </c>
      <c r="D188" s="173" t="s">
        <v>153</v>
      </c>
      <c r="E188" s="221" t="s">
        <v>11</v>
      </c>
      <c r="F188" s="203"/>
      <c r="G188" s="78">
        <f t="shared" si="24"/>
        <v>10050.8</v>
      </c>
      <c r="H188" s="78">
        <f t="shared" si="24"/>
        <v>10050.8</v>
      </c>
      <c r="I188" s="78">
        <f>I189</f>
        <v>0</v>
      </c>
    </row>
    <row r="189" spans="1:9" s="32" customFormat="1" ht="26.25">
      <c r="A189" s="106" t="s">
        <v>477</v>
      </c>
      <c r="B189" s="141"/>
      <c r="C189" s="173" t="s">
        <v>180</v>
      </c>
      <c r="D189" s="173" t="s">
        <v>153</v>
      </c>
      <c r="E189" s="201" t="s">
        <v>68</v>
      </c>
      <c r="F189" s="203"/>
      <c r="G189" s="78">
        <f t="shared" si="24"/>
        <v>10050.8</v>
      </c>
      <c r="H189" s="78">
        <f t="shared" si="24"/>
        <v>10050.8</v>
      </c>
      <c r="I189" s="78">
        <f>I190</f>
        <v>0</v>
      </c>
    </row>
    <row r="190" spans="1:9" s="32" customFormat="1" ht="15.75">
      <c r="A190" s="112" t="s">
        <v>138</v>
      </c>
      <c r="B190" s="111"/>
      <c r="C190" s="174" t="s">
        <v>180</v>
      </c>
      <c r="D190" s="174" t="s">
        <v>153</v>
      </c>
      <c r="E190" s="200" t="s">
        <v>69</v>
      </c>
      <c r="F190" s="202"/>
      <c r="G190" s="74">
        <f>G191+G193</f>
        <v>10050.8</v>
      </c>
      <c r="H190" s="74">
        <f>H191+H193</f>
        <v>10050.8</v>
      </c>
      <c r="I190" s="74">
        <f>I191+I193</f>
        <v>0</v>
      </c>
    </row>
    <row r="191" spans="1:9" s="32" customFormat="1" ht="25.5">
      <c r="A191" s="110" t="s">
        <v>139</v>
      </c>
      <c r="B191" s="111"/>
      <c r="C191" s="174" t="s">
        <v>180</v>
      </c>
      <c r="D191" s="174" t="s">
        <v>153</v>
      </c>
      <c r="E191" s="200" t="s">
        <v>69</v>
      </c>
      <c r="F191" s="202" t="s">
        <v>228</v>
      </c>
      <c r="G191" s="74">
        <f>G192</f>
        <v>9289.3</v>
      </c>
      <c r="H191" s="74">
        <f>H192</f>
        <v>9289.3</v>
      </c>
      <c r="I191" s="74">
        <f>I192</f>
        <v>0</v>
      </c>
    </row>
    <row r="192" spans="1:9" s="32" customFormat="1" ht="15.75">
      <c r="A192" s="110" t="s">
        <v>223</v>
      </c>
      <c r="B192" s="113"/>
      <c r="C192" s="174" t="s">
        <v>180</v>
      </c>
      <c r="D192" s="174" t="s">
        <v>153</v>
      </c>
      <c r="E192" s="200" t="s">
        <v>69</v>
      </c>
      <c r="F192" s="202" t="s">
        <v>224</v>
      </c>
      <c r="G192" s="74">
        <f>7048.3+130+2111</f>
        <v>9289.3</v>
      </c>
      <c r="H192" s="74">
        <f>7048.3+130+2111</f>
        <v>9289.3</v>
      </c>
      <c r="I192" s="74">
        <f>G192-H192</f>
        <v>0</v>
      </c>
    </row>
    <row r="193" spans="1:9" s="32" customFormat="1" ht="15.75">
      <c r="A193" s="110" t="s">
        <v>264</v>
      </c>
      <c r="B193" s="113"/>
      <c r="C193" s="174" t="s">
        <v>180</v>
      </c>
      <c r="D193" s="174" t="s">
        <v>153</v>
      </c>
      <c r="E193" s="200" t="s">
        <v>69</v>
      </c>
      <c r="F193" s="202" t="s">
        <v>216</v>
      </c>
      <c r="G193" s="74">
        <f>G194</f>
        <v>761.5</v>
      </c>
      <c r="H193" s="74">
        <f>H194</f>
        <v>761.5</v>
      </c>
      <c r="I193" s="74">
        <f>I194</f>
        <v>0</v>
      </c>
    </row>
    <row r="194" spans="1:9" s="32" customFormat="1" ht="15.75">
      <c r="A194" s="110" t="s">
        <v>217</v>
      </c>
      <c r="B194" s="113"/>
      <c r="C194" s="174" t="s">
        <v>180</v>
      </c>
      <c r="D194" s="174" t="s">
        <v>153</v>
      </c>
      <c r="E194" s="200" t="s">
        <v>69</v>
      </c>
      <c r="F194" s="202" t="s">
        <v>215</v>
      </c>
      <c r="G194" s="74">
        <v>761.5</v>
      </c>
      <c r="H194" s="74">
        <v>761.5</v>
      </c>
      <c r="I194" s="74">
        <f>G194-H194</f>
        <v>0</v>
      </c>
    </row>
    <row r="195" spans="1:9" ht="15.75">
      <c r="A195" s="106" t="s">
        <v>187</v>
      </c>
      <c r="B195" s="111"/>
      <c r="C195" s="173" t="s">
        <v>180</v>
      </c>
      <c r="D195" s="173" t="s">
        <v>179</v>
      </c>
      <c r="E195" s="201"/>
      <c r="F195" s="203"/>
      <c r="G195" s="78">
        <f aca="true" t="shared" si="25" ref="G195:H198">G196</f>
        <v>256.7</v>
      </c>
      <c r="H195" s="78">
        <f t="shared" si="25"/>
        <v>256.7</v>
      </c>
      <c r="I195" s="78">
        <f>I196</f>
        <v>0</v>
      </c>
    </row>
    <row r="196" spans="1:9" ht="15.75">
      <c r="A196" s="106" t="s">
        <v>393</v>
      </c>
      <c r="B196" s="107"/>
      <c r="C196" s="173" t="s">
        <v>180</v>
      </c>
      <c r="D196" s="173" t="s">
        <v>179</v>
      </c>
      <c r="E196" s="201" t="s">
        <v>70</v>
      </c>
      <c r="F196" s="203"/>
      <c r="G196" s="78">
        <f t="shared" si="25"/>
        <v>256.7</v>
      </c>
      <c r="H196" s="78">
        <f t="shared" si="25"/>
        <v>256.7</v>
      </c>
      <c r="I196" s="78">
        <f>I197</f>
        <v>0</v>
      </c>
    </row>
    <row r="197" spans="1:9" ht="15.75">
      <c r="A197" s="112" t="s">
        <v>490</v>
      </c>
      <c r="B197" s="142"/>
      <c r="C197" s="174" t="s">
        <v>180</v>
      </c>
      <c r="D197" s="174" t="s">
        <v>179</v>
      </c>
      <c r="E197" s="200" t="s">
        <v>71</v>
      </c>
      <c r="F197" s="137"/>
      <c r="G197" s="74">
        <f t="shared" si="25"/>
        <v>256.7</v>
      </c>
      <c r="H197" s="74">
        <f t="shared" si="25"/>
        <v>256.7</v>
      </c>
      <c r="I197" s="74">
        <f>I198</f>
        <v>0</v>
      </c>
    </row>
    <row r="198" spans="1:9" s="32" customFormat="1" ht="15.75">
      <c r="A198" s="112" t="s">
        <v>107</v>
      </c>
      <c r="B198" s="142"/>
      <c r="C198" s="174" t="s">
        <v>180</v>
      </c>
      <c r="D198" s="174" t="s">
        <v>179</v>
      </c>
      <c r="E198" s="200" t="s">
        <v>71</v>
      </c>
      <c r="F198" s="137">
        <v>800</v>
      </c>
      <c r="G198" s="74">
        <f t="shared" si="25"/>
        <v>256.7</v>
      </c>
      <c r="H198" s="74">
        <f t="shared" si="25"/>
        <v>256.7</v>
      </c>
      <c r="I198" s="74">
        <f>I199</f>
        <v>0</v>
      </c>
    </row>
    <row r="199" spans="1:9" s="32" customFormat="1" ht="15.75">
      <c r="A199" s="112" t="s">
        <v>108</v>
      </c>
      <c r="B199" s="142"/>
      <c r="C199" s="174" t="s">
        <v>180</v>
      </c>
      <c r="D199" s="174" t="s">
        <v>179</v>
      </c>
      <c r="E199" s="200" t="s">
        <v>71</v>
      </c>
      <c r="F199" s="137">
        <v>870</v>
      </c>
      <c r="G199" s="74">
        <v>256.7</v>
      </c>
      <c r="H199" s="74">
        <v>256.7</v>
      </c>
      <c r="I199" s="74">
        <f>G199-H199</f>
        <v>0</v>
      </c>
    </row>
    <row r="200" spans="1:9" ht="15.75">
      <c r="A200" s="106" t="s">
        <v>161</v>
      </c>
      <c r="B200" s="111"/>
      <c r="C200" s="173" t="s">
        <v>197</v>
      </c>
      <c r="D200" s="174"/>
      <c r="E200" s="200"/>
      <c r="F200" s="202"/>
      <c r="G200" s="78">
        <f aca="true" t="shared" si="26" ref="G200:H205">G201</f>
        <v>921.2</v>
      </c>
      <c r="H200" s="78">
        <f t="shared" si="26"/>
        <v>921.2</v>
      </c>
      <c r="I200" s="78">
        <f aca="true" t="shared" si="27" ref="I200:I205">I201</f>
        <v>0</v>
      </c>
    </row>
    <row r="201" spans="1:9" ht="15.75">
      <c r="A201" s="106" t="s">
        <v>162</v>
      </c>
      <c r="B201" s="111"/>
      <c r="C201" s="173" t="s">
        <v>197</v>
      </c>
      <c r="D201" s="173" t="s">
        <v>181</v>
      </c>
      <c r="E201" s="200"/>
      <c r="F201" s="202"/>
      <c r="G201" s="78">
        <f t="shared" si="26"/>
        <v>921.2</v>
      </c>
      <c r="H201" s="78">
        <f t="shared" si="26"/>
        <v>921.2</v>
      </c>
      <c r="I201" s="78">
        <f t="shared" si="27"/>
        <v>0</v>
      </c>
    </row>
    <row r="202" spans="1:9" ht="15.75">
      <c r="A202" s="106" t="s">
        <v>392</v>
      </c>
      <c r="B202" s="141"/>
      <c r="C202" s="173" t="s">
        <v>197</v>
      </c>
      <c r="D202" s="173" t="s">
        <v>181</v>
      </c>
      <c r="E202" s="221" t="s">
        <v>11</v>
      </c>
      <c r="F202" s="202"/>
      <c r="G202" s="78">
        <f t="shared" si="26"/>
        <v>921.2</v>
      </c>
      <c r="H202" s="78">
        <f t="shared" si="26"/>
        <v>921.2</v>
      </c>
      <c r="I202" s="78">
        <f t="shared" si="27"/>
        <v>0</v>
      </c>
    </row>
    <row r="203" spans="1:9" ht="26.25">
      <c r="A203" s="106" t="s">
        <v>489</v>
      </c>
      <c r="B203" s="141"/>
      <c r="C203" s="173" t="s">
        <v>197</v>
      </c>
      <c r="D203" s="173" t="s">
        <v>181</v>
      </c>
      <c r="E203" s="201" t="s">
        <v>68</v>
      </c>
      <c r="F203" s="203"/>
      <c r="G203" s="78">
        <f t="shared" si="26"/>
        <v>921.2</v>
      </c>
      <c r="H203" s="78">
        <f t="shared" si="26"/>
        <v>921.2</v>
      </c>
      <c r="I203" s="78">
        <f t="shared" si="27"/>
        <v>0</v>
      </c>
    </row>
    <row r="204" spans="1:9" ht="15.75">
      <c r="A204" s="112" t="s">
        <v>118</v>
      </c>
      <c r="B204" s="111"/>
      <c r="C204" s="174" t="s">
        <v>197</v>
      </c>
      <c r="D204" s="174" t="s">
        <v>181</v>
      </c>
      <c r="E204" s="200" t="s">
        <v>73</v>
      </c>
      <c r="F204" s="202"/>
      <c r="G204" s="74">
        <f t="shared" si="26"/>
        <v>921.2</v>
      </c>
      <c r="H204" s="74">
        <f t="shared" si="26"/>
        <v>921.2</v>
      </c>
      <c r="I204" s="74">
        <f t="shared" si="27"/>
        <v>0</v>
      </c>
    </row>
    <row r="205" spans="1:9" s="39" customFormat="1" ht="15.75">
      <c r="A205" s="112" t="s">
        <v>203</v>
      </c>
      <c r="B205" s="111"/>
      <c r="C205" s="174" t="s">
        <v>197</v>
      </c>
      <c r="D205" s="174" t="s">
        <v>181</v>
      </c>
      <c r="E205" s="200" t="s">
        <v>73</v>
      </c>
      <c r="F205" s="202" t="s">
        <v>204</v>
      </c>
      <c r="G205" s="74">
        <f t="shared" si="26"/>
        <v>921.2</v>
      </c>
      <c r="H205" s="74">
        <f t="shared" si="26"/>
        <v>921.2</v>
      </c>
      <c r="I205" s="74">
        <f t="shared" si="27"/>
        <v>0</v>
      </c>
    </row>
    <row r="206" spans="1:9" ht="15.75">
      <c r="A206" s="112" t="s">
        <v>106</v>
      </c>
      <c r="B206" s="111"/>
      <c r="C206" s="174" t="s">
        <v>197</v>
      </c>
      <c r="D206" s="174" t="s">
        <v>181</v>
      </c>
      <c r="E206" s="200" t="s">
        <v>73</v>
      </c>
      <c r="F206" s="202" t="s">
        <v>133</v>
      </c>
      <c r="G206" s="74">
        <f>862.5+58.7</f>
        <v>921.2</v>
      </c>
      <c r="H206" s="74">
        <f>862.5+58.7</f>
        <v>921.2</v>
      </c>
      <c r="I206" s="74">
        <f>G206-H206</f>
        <v>0</v>
      </c>
    </row>
    <row r="207" spans="1:9" ht="15.75">
      <c r="A207" s="106" t="s">
        <v>178</v>
      </c>
      <c r="B207" s="137"/>
      <c r="C207" s="173" t="s">
        <v>150</v>
      </c>
      <c r="D207" s="173"/>
      <c r="E207" s="200"/>
      <c r="F207" s="202"/>
      <c r="G207" s="78">
        <f aca="true" t="shared" si="28" ref="G207:H209">G208</f>
        <v>1065.7</v>
      </c>
      <c r="H207" s="78">
        <f t="shared" si="28"/>
        <v>1065.7</v>
      </c>
      <c r="I207" s="78">
        <f>I208</f>
        <v>0</v>
      </c>
    </row>
    <row r="208" spans="1:9" ht="15.75">
      <c r="A208" s="106" t="s">
        <v>190</v>
      </c>
      <c r="B208" s="137"/>
      <c r="C208" s="173" t="s">
        <v>150</v>
      </c>
      <c r="D208" s="173" t="s">
        <v>180</v>
      </c>
      <c r="E208" s="201"/>
      <c r="F208" s="203"/>
      <c r="G208" s="78">
        <f t="shared" si="28"/>
        <v>1065.7</v>
      </c>
      <c r="H208" s="78">
        <f t="shared" si="28"/>
        <v>1065.7</v>
      </c>
      <c r="I208" s="78">
        <f>I209</f>
        <v>0</v>
      </c>
    </row>
    <row r="209" spans="1:9" s="39" customFormat="1" ht="15.75">
      <c r="A209" s="143" t="s">
        <v>26</v>
      </c>
      <c r="B209" s="137"/>
      <c r="C209" s="173" t="s">
        <v>208</v>
      </c>
      <c r="D209" s="173" t="s">
        <v>180</v>
      </c>
      <c r="E209" s="201" t="s">
        <v>27</v>
      </c>
      <c r="F209" s="202"/>
      <c r="G209" s="78">
        <f t="shared" si="28"/>
        <v>1065.7</v>
      </c>
      <c r="H209" s="78">
        <f t="shared" si="28"/>
        <v>1065.7</v>
      </c>
      <c r="I209" s="78">
        <f>I210</f>
        <v>0</v>
      </c>
    </row>
    <row r="210" spans="1:9" ht="15.75">
      <c r="A210" s="108" t="s">
        <v>248</v>
      </c>
      <c r="B210" s="137"/>
      <c r="C210" s="174" t="s">
        <v>150</v>
      </c>
      <c r="D210" s="174" t="s">
        <v>180</v>
      </c>
      <c r="E210" s="200" t="s">
        <v>247</v>
      </c>
      <c r="F210" s="202"/>
      <c r="G210" s="78">
        <f>G211+G213</f>
        <v>1065.7</v>
      </c>
      <c r="H210" s="78">
        <f>H211+H213</f>
        <v>1065.7</v>
      </c>
      <c r="I210" s="78">
        <f>I211+I213</f>
        <v>0</v>
      </c>
    </row>
    <row r="211" spans="1:9" ht="15.75">
      <c r="A211" s="110" t="s">
        <v>264</v>
      </c>
      <c r="B211" s="137"/>
      <c r="C211" s="174" t="s">
        <v>150</v>
      </c>
      <c r="D211" s="174" t="s">
        <v>180</v>
      </c>
      <c r="E211" s="200" t="s">
        <v>247</v>
      </c>
      <c r="F211" s="202" t="s">
        <v>216</v>
      </c>
      <c r="G211" s="74">
        <f>SUM(G212)</f>
        <v>15.7</v>
      </c>
      <c r="H211" s="74">
        <f>SUM(H212)</f>
        <v>15.7</v>
      </c>
      <c r="I211" s="74">
        <f>SUM(I212)</f>
        <v>0</v>
      </c>
    </row>
    <row r="212" spans="1:9" ht="15.75">
      <c r="A212" s="144" t="s">
        <v>217</v>
      </c>
      <c r="B212" s="137"/>
      <c r="C212" s="174" t="s">
        <v>150</v>
      </c>
      <c r="D212" s="174" t="s">
        <v>180</v>
      </c>
      <c r="E212" s="200" t="s">
        <v>247</v>
      </c>
      <c r="F212" s="202" t="s">
        <v>215</v>
      </c>
      <c r="G212" s="74">
        <v>15.7</v>
      </c>
      <c r="H212" s="74">
        <v>15.7</v>
      </c>
      <c r="I212" s="74">
        <f>G212-H212</f>
        <v>0</v>
      </c>
    </row>
    <row r="213" spans="1:9" ht="15.75">
      <c r="A213" s="112" t="s">
        <v>102</v>
      </c>
      <c r="B213" s="137"/>
      <c r="C213" s="174" t="s">
        <v>150</v>
      </c>
      <c r="D213" s="174" t="s">
        <v>180</v>
      </c>
      <c r="E213" s="200" t="s">
        <v>247</v>
      </c>
      <c r="F213" s="202" t="s">
        <v>98</v>
      </c>
      <c r="G213" s="74">
        <f>SUM(G214)</f>
        <v>1050</v>
      </c>
      <c r="H213" s="74">
        <f>SUM(H214)</f>
        <v>1050</v>
      </c>
      <c r="I213" s="74">
        <f>SUM(I214)</f>
        <v>0</v>
      </c>
    </row>
    <row r="214" spans="1:9" ht="15" customHeight="1">
      <c r="A214" s="112" t="s">
        <v>578</v>
      </c>
      <c r="B214" s="137"/>
      <c r="C214" s="174" t="s">
        <v>150</v>
      </c>
      <c r="D214" s="174" t="s">
        <v>180</v>
      </c>
      <c r="E214" s="200" t="s">
        <v>247</v>
      </c>
      <c r="F214" s="202" t="s">
        <v>577</v>
      </c>
      <c r="G214" s="74">
        <v>1050</v>
      </c>
      <c r="H214" s="74">
        <v>1050</v>
      </c>
      <c r="I214" s="74">
        <f>G214-H214</f>
        <v>0</v>
      </c>
    </row>
    <row r="215" spans="1:9" ht="15" customHeight="1">
      <c r="A215" s="143" t="s">
        <v>134</v>
      </c>
      <c r="B215" s="137"/>
      <c r="C215" s="173" t="s">
        <v>146</v>
      </c>
      <c r="D215" s="173"/>
      <c r="E215" s="201"/>
      <c r="F215" s="203"/>
      <c r="G215" s="78">
        <f aca="true" t="shared" si="29" ref="G215:H220">G216</f>
        <v>3708</v>
      </c>
      <c r="H215" s="78">
        <f t="shared" si="29"/>
        <v>3708</v>
      </c>
      <c r="I215" s="78">
        <f aca="true" t="shared" si="30" ref="I215:I220">I216</f>
        <v>0</v>
      </c>
    </row>
    <row r="216" spans="1:9" ht="15.75">
      <c r="A216" s="143" t="s">
        <v>515</v>
      </c>
      <c r="B216" s="137"/>
      <c r="C216" s="173" t="s">
        <v>146</v>
      </c>
      <c r="D216" s="173" t="s">
        <v>180</v>
      </c>
      <c r="E216" s="201"/>
      <c r="F216" s="203"/>
      <c r="G216" s="78">
        <f t="shared" si="29"/>
        <v>3708</v>
      </c>
      <c r="H216" s="78">
        <f t="shared" si="29"/>
        <v>3708</v>
      </c>
      <c r="I216" s="78">
        <f t="shared" si="30"/>
        <v>0</v>
      </c>
    </row>
    <row r="217" spans="1:9" ht="15.75">
      <c r="A217" s="106" t="s">
        <v>392</v>
      </c>
      <c r="B217" s="141"/>
      <c r="C217" s="173" t="s">
        <v>146</v>
      </c>
      <c r="D217" s="173" t="s">
        <v>180</v>
      </c>
      <c r="E217" s="221" t="s">
        <v>11</v>
      </c>
      <c r="F217" s="202"/>
      <c r="G217" s="78">
        <f t="shared" si="29"/>
        <v>3708</v>
      </c>
      <c r="H217" s="78">
        <f t="shared" si="29"/>
        <v>3708</v>
      </c>
      <c r="I217" s="78">
        <f t="shared" si="30"/>
        <v>0</v>
      </c>
    </row>
    <row r="218" spans="1:9" ht="18.75" customHeight="1">
      <c r="A218" s="106" t="s">
        <v>394</v>
      </c>
      <c r="B218" s="137"/>
      <c r="C218" s="173" t="s">
        <v>146</v>
      </c>
      <c r="D218" s="173" t="s">
        <v>180</v>
      </c>
      <c r="E218" s="201" t="s">
        <v>66</v>
      </c>
      <c r="F218" s="203"/>
      <c r="G218" s="78">
        <f t="shared" si="29"/>
        <v>3708</v>
      </c>
      <c r="H218" s="78">
        <f t="shared" si="29"/>
        <v>3708</v>
      </c>
      <c r="I218" s="78">
        <f t="shared" si="30"/>
        <v>0</v>
      </c>
    </row>
    <row r="219" spans="1:9" ht="15.75">
      <c r="A219" s="112" t="s">
        <v>120</v>
      </c>
      <c r="B219" s="137"/>
      <c r="C219" s="174" t="s">
        <v>146</v>
      </c>
      <c r="D219" s="174" t="s">
        <v>180</v>
      </c>
      <c r="E219" s="200" t="s">
        <v>65</v>
      </c>
      <c r="F219" s="202"/>
      <c r="G219" s="74">
        <f t="shared" si="29"/>
        <v>3708</v>
      </c>
      <c r="H219" s="74">
        <f t="shared" si="29"/>
        <v>3708</v>
      </c>
      <c r="I219" s="74">
        <f t="shared" si="30"/>
        <v>0</v>
      </c>
    </row>
    <row r="220" spans="1:9" ht="15.75">
      <c r="A220" s="112" t="s">
        <v>134</v>
      </c>
      <c r="B220" s="137"/>
      <c r="C220" s="174" t="s">
        <v>146</v>
      </c>
      <c r="D220" s="174" t="s">
        <v>180</v>
      </c>
      <c r="E220" s="200" t="s">
        <v>65</v>
      </c>
      <c r="F220" s="202" t="s">
        <v>136</v>
      </c>
      <c r="G220" s="74">
        <f t="shared" si="29"/>
        <v>3708</v>
      </c>
      <c r="H220" s="74">
        <f t="shared" si="29"/>
        <v>3708</v>
      </c>
      <c r="I220" s="74">
        <f t="shared" si="30"/>
        <v>0</v>
      </c>
    </row>
    <row r="221" spans="1:9" ht="18" customHeight="1">
      <c r="A221" s="112" t="s">
        <v>135</v>
      </c>
      <c r="B221" s="137"/>
      <c r="C221" s="174" t="s">
        <v>146</v>
      </c>
      <c r="D221" s="174" t="s">
        <v>180</v>
      </c>
      <c r="E221" s="200" t="s">
        <v>65</v>
      </c>
      <c r="F221" s="202" t="s">
        <v>137</v>
      </c>
      <c r="G221" s="74">
        <v>3708</v>
      </c>
      <c r="H221" s="74">
        <v>3708</v>
      </c>
      <c r="I221" s="74">
        <f>G221-H221</f>
        <v>0</v>
      </c>
    </row>
    <row r="222" spans="1:9" ht="15.75">
      <c r="A222" s="125" t="s">
        <v>268</v>
      </c>
      <c r="B222" s="137"/>
      <c r="C222" s="173" t="s">
        <v>185</v>
      </c>
      <c r="D222" s="173"/>
      <c r="E222" s="200"/>
      <c r="F222" s="202"/>
      <c r="G222" s="78">
        <f>G223+G238+G232</f>
        <v>60709</v>
      </c>
      <c r="H222" s="78">
        <f>H223+H238+H232</f>
        <v>60709</v>
      </c>
      <c r="I222" s="78">
        <f>I223+I238+I232</f>
        <v>0</v>
      </c>
    </row>
    <row r="223" spans="1:9" ht="15.75">
      <c r="A223" s="125" t="s">
        <v>103</v>
      </c>
      <c r="B223" s="138"/>
      <c r="C223" s="173" t="s">
        <v>185</v>
      </c>
      <c r="D223" s="173" t="s">
        <v>180</v>
      </c>
      <c r="E223" s="201"/>
      <c r="F223" s="203"/>
      <c r="G223" s="78">
        <f aca="true" t="shared" si="31" ref="G223:I224">G224</f>
        <v>40767.7</v>
      </c>
      <c r="H223" s="78">
        <f t="shared" si="31"/>
        <v>40767.7</v>
      </c>
      <c r="I223" s="78">
        <f t="shared" si="31"/>
        <v>0</v>
      </c>
    </row>
    <row r="224" spans="1:9" ht="15.75">
      <c r="A224" s="106" t="s">
        <v>378</v>
      </c>
      <c r="B224" s="113"/>
      <c r="C224" s="173" t="s">
        <v>185</v>
      </c>
      <c r="D224" s="173" t="s">
        <v>180</v>
      </c>
      <c r="E224" s="221" t="s">
        <v>11</v>
      </c>
      <c r="F224" s="203"/>
      <c r="G224" s="78">
        <f t="shared" si="31"/>
        <v>40767.7</v>
      </c>
      <c r="H224" s="78">
        <f t="shared" si="31"/>
        <v>40767.7</v>
      </c>
      <c r="I224" s="78">
        <f t="shared" si="31"/>
        <v>0</v>
      </c>
    </row>
    <row r="225" spans="1:9" s="39" customFormat="1" ht="15.75">
      <c r="A225" s="125" t="s">
        <v>121</v>
      </c>
      <c r="B225" s="138"/>
      <c r="C225" s="173" t="s">
        <v>185</v>
      </c>
      <c r="D225" s="173" t="s">
        <v>180</v>
      </c>
      <c r="E225" s="201" t="s">
        <v>39</v>
      </c>
      <c r="F225" s="203"/>
      <c r="G225" s="78">
        <f>G229+G226</f>
        <v>40767.7</v>
      </c>
      <c r="H225" s="78">
        <f>H229+H226</f>
        <v>40767.7</v>
      </c>
      <c r="I225" s="78">
        <f>I229+I226</f>
        <v>0</v>
      </c>
    </row>
    <row r="226" spans="1:9" s="39" customFormat="1" ht="15.75">
      <c r="A226" s="112" t="s">
        <v>329</v>
      </c>
      <c r="B226" s="137"/>
      <c r="C226" s="174" t="s">
        <v>185</v>
      </c>
      <c r="D226" s="174" t="s">
        <v>180</v>
      </c>
      <c r="E226" s="200" t="s">
        <v>285</v>
      </c>
      <c r="F226" s="202"/>
      <c r="G226" s="74">
        <f>G227</f>
        <v>33678.7</v>
      </c>
      <c r="H226" s="74">
        <f>H227</f>
        <v>33678.7</v>
      </c>
      <c r="I226" s="74">
        <f>I227</f>
        <v>0</v>
      </c>
    </row>
    <row r="227" spans="1:9" s="39" customFormat="1" ht="15.75">
      <c r="A227" s="112" t="s">
        <v>203</v>
      </c>
      <c r="B227" s="138"/>
      <c r="C227" s="174" t="s">
        <v>185</v>
      </c>
      <c r="D227" s="174" t="s">
        <v>180</v>
      </c>
      <c r="E227" s="200" t="s">
        <v>285</v>
      </c>
      <c r="F227" s="202" t="s">
        <v>204</v>
      </c>
      <c r="G227" s="74">
        <f>SUM(G228:G228)</f>
        <v>33678.7</v>
      </c>
      <c r="H227" s="74">
        <f>SUM(H228:H228)</f>
        <v>33678.7</v>
      </c>
      <c r="I227" s="74">
        <f>SUM(I228:I228)</f>
        <v>0</v>
      </c>
    </row>
    <row r="228" spans="1:9" ht="15.75">
      <c r="A228" s="112" t="s">
        <v>104</v>
      </c>
      <c r="B228" s="137"/>
      <c r="C228" s="174" t="s">
        <v>185</v>
      </c>
      <c r="D228" s="174" t="s">
        <v>180</v>
      </c>
      <c r="E228" s="200" t="s">
        <v>285</v>
      </c>
      <c r="F228" s="202" t="s">
        <v>105</v>
      </c>
      <c r="G228" s="74">
        <v>33678.7</v>
      </c>
      <c r="H228" s="74">
        <v>33678.7</v>
      </c>
      <c r="I228" s="74">
        <f>G228-H228</f>
        <v>0</v>
      </c>
    </row>
    <row r="229" spans="1:9" ht="15.75">
      <c r="A229" s="112" t="s">
        <v>526</v>
      </c>
      <c r="B229" s="137"/>
      <c r="C229" s="174" t="s">
        <v>185</v>
      </c>
      <c r="D229" s="174" t="s">
        <v>180</v>
      </c>
      <c r="E229" s="200" t="s">
        <v>12</v>
      </c>
      <c r="F229" s="202"/>
      <c r="G229" s="74">
        <f>G230</f>
        <v>7089</v>
      </c>
      <c r="H229" s="74">
        <f>H230</f>
        <v>7089</v>
      </c>
      <c r="I229" s="74">
        <f>I230</f>
        <v>0</v>
      </c>
    </row>
    <row r="230" spans="1:9" s="39" customFormat="1" ht="15.75">
      <c r="A230" s="112" t="s">
        <v>203</v>
      </c>
      <c r="B230" s="138"/>
      <c r="C230" s="174" t="s">
        <v>185</v>
      </c>
      <c r="D230" s="174" t="s">
        <v>180</v>
      </c>
      <c r="E230" s="200" t="s">
        <v>12</v>
      </c>
      <c r="F230" s="202" t="s">
        <v>204</v>
      </c>
      <c r="G230" s="74">
        <f>SUM(G231:G231)</f>
        <v>7089</v>
      </c>
      <c r="H230" s="74">
        <f>SUM(H231:H231)</f>
        <v>7089</v>
      </c>
      <c r="I230" s="74">
        <f>SUM(I231:I231)</f>
        <v>0</v>
      </c>
    </row>
    <row r="231" spans="1:9" s="39" customFormat="1" ht="15.75">
      <c r="A231" s="112" t="s">
        <v>104</v>
      </c>
      <c r="B231" s="137"/>
      <c r="C231" s="174" t="s">
        <v>185</v>
      </c>
      <c r="D231" s="174" t="s">
        <v>180</v>
      </c>
      <c r="E231" s="200" t="s">
        <v>12</v>
      </c>
      <c r="F231" s="202" t="s">
        <v>105</v>
      </c>
      <c r="G231" s="74">
        <v>7089</v>
      </c>
      <c r="H231" s="74">
        <v>7089</v>
      </c>
      <c r="I231" s="74">
        <f>G231-H231</f>
        <v>0</v>
      </c>
    </row>
    <row r="232" spans="1:9" ht="15.75">
      <c r="A232" s="125" t="s">
        <v>683</v>
      </c>
      <c r="B232" s="138"/>
      <c r="C232" s="173" t="s">
        <v>185</v>
      </c>
      <c r="D232" s="173" t="s">
        <v>197</v>
      </c>
      <c r="E232" s="201"/>
      <c r="F232" s="203"/>
      <c r="G232" s="78">
        <f aca="true" t="shared" si="32" ref="G232:I234">G233</f>
        <v>605.2</v>
      </c>
      <c r="H232" s="78">
        <f t="shared" si="32"/>
        <v>605.2</v>
      </c>
      <c r="I232" s="78">
        <f t="shared" si="32"/>
        <v>0</v>
      </c>
    </row>
    <row r="233" spans="1:9" ht="15.75">
      <c r="A233" s="106" t="s">
        <v>378</v>
      </c>
      <c r="B233" s="113"/>
      <c r="C233" s="173" t="s">
        <v>185</v>
      </c>
      <c r="D233" s="173" t="s">
        <v>197</v>
      </c>
      <c r="E233" s="221" t="s">
        <v>11</v>
      </c>
      <c r="F233" s="203"/>
      <c r="G233" s="78">
        <f t="shared" si="32"/>
        <v>605.2</v>
      </c>
      <c r="H233" s="78">
        <f t="shared" si="32"/>
        <v>605.2</v>
      </c>
      <c r="I233" s="78">
        <f t="shared" si="32"/>
        <v>0</v>
      </c>
    </row>
    <row r="234" spans="1:9" s="39" customFormat="1" ht="15.75">
      <c r="A234" s="125" t="s">
        <v>121</v>
      </c>
      <c r="B234" s="138"/>
      <c r="C234" s="173" t="s">
        <v>185</v>
      </c>
      <c r="D234" s="173" t="s">
        <v>197</v>
      </c>
      <c r="E234" s="201" t="s">
        <v>39</v>
      </c>
      <c r="F234" s="203"/>
      <c r="G234" s="78">
        <f>G235</f>
        <v>605.2</v>
      </c>
      <c r="H234" s="78">
        <f>H235</f>
        <v>605.2</v>
      </c>
      <c r="I234" s="78">
        <f t="shared" si="32"/>
        <v>0</v>
      </c>
    </row>
    <row r="235" spans="1:9" s="39" customFormat="1" ht="15.75">
      <c r="A235" s="112" t="s">
        <v>329</v>
      </c>
      <c r="B235" s="137"/>
      <c r="C235" s="174" t="s">
        <v>185</v>
      </c>
      <c r="D235" s="174" t="s">
        <v>197</v>
      </c>
      <c r="E235" s="200" t="s">
        <v>682</v>
      </c>
      <c r="F235" s="202"/>
      <c r="G235" s="74">
        <f>G236</f>
        <v>605.2</v>
      </c>
      <c r="H235" s="74">
        <f>H236</f>
        <v>605.2</v>
      </c>
      <c r="I235" s="74">
        <f>I236</f>
        <v>0</v>
      </c>
    </row>
    <row r="236" spans="1:9" s="39" customFormat="1" ht="15.75">
      <c r="A236" s="112" t="s">
        <v>203</v>
      </c>
      <c r="B236" s="138"/>
      <c r="C236" s="174" t="s">
        <v>185</v>
      </c>
      <c r="D236" s="174" t="s">
        <v>197</v>
      </c>
      <c r="E236" s="200" t="s">
        <v>682</v>
      </c>
      <c r="F236" s="202" t="s">
        <v>204</v>
      </c>
      <c r="G236" s="74">
        <f>SUM(G237:G237)</f>
        <v>605.2</v>
      </c>
      <c r="H236" s="74">
        <f>SUM(H237:H237)</f>
        <v>605.2</v>
      </c>
      <c r="I236" s="74">
        <f>SUM(I237:I237)</f>
        <v>0</v>
      </c>
    </row>
    <row r="237" spans="1:9" ht="15.75">
      <c r="A237" s="112" t="s">
        <v>104</v>
      </c>
      <c r="B237" s="137"/>
      <c r="C237" s="174" t="s">
        <v>185</v>
      </c>
      <c r="D237" s="174" t="s">
        <v>197</v>
      </c>
      <c r="E237" s="200" t="s">
        <v>682</v>
      </c>
      <c r="F237" s="202" t="s">
        <v>105</v>
      </c>
      <c r="G237" s="74">
        <v>605.2</v>
      </c>
      <c r="H237" s="74">
        <v>605.2</v>
      </c>
      <c r="I237" s="74">
        <f>G237-H237</f>
        <v>0</v>
      </c>
    </row>
    <row r="238" spans="1:9" ht="15.75" customHeight="1">
      <c r="A238" s="134" t="s">
        <v>191</v>
      </c>
      <c r="B238" s="137"/>
      <c r="C238" s="173" t="s">
        <v>185</v>
      </c>
      <c r="D238" s="173" t="s">
        <v>181</v>
      </c>
      <c r="E238" s="201"/>
      <c r="F238" s="203"/>
      <c r="G238" s="78">
        <f aca="true" t="shared" si="33" ref="G238:H242">G239</f>
        <v>19336.100000000002</v>
      </c>
      <c r="H238" s="78">
        <f t="shared" si="33"/>
        <v>19336.100000000002</v>
      </c>
      <c r="I238" s="78">
        <f>I239</f>
        <v>0</v>
      </c>
    </row>
    <row r="239" spans="1:9" ht="15" customHeight="1">
      <c r="A239" s="106" t="s">
        <v>378</v>
      </c>
      <c r="B239" s="113"/>
      <c r="C239" s="173" t="s">
        <v>185</v>
      </c>
      <c r="D239" s="173" t="s">
        <v>181</v>
      </c>
      <c r="E239" s="221" t="s">
        <v>11</v>
      </c>
      <c r="F239" s="203"/>
      <c r="G239" s="78">
        <f t="shared" si="33"/>
        <v>19336.100000000002</v>
      </c>
      <c r="H239" s="78">
        <f t="shared" si="33"/>
        <v>19336.100000000002</v>
      </c>
      <c r="I239" s="78">
        <f>I240</f>
        <v>0</v>
      </c>
    </row>
    <row r="240" spans="1:9" ht="18" customHeight="1">
      <c r="A240" s="125" t="s">
        <v>121</v>
      </c>
      <c r="B240" s="138"/>
      <c r="C240" s="173" t="s">
        <v>185</v>
      </c>
      <c r="D240" s="173" t="s">
        <v>181</v>
      </c>
      <c r="E240" s="201" t="s">
        <v>39</v>
      </c>
      <c r="F240" s="203"/>
      <c r="G240" s="78">
        <f t="shared" si="33"/>
        <v>19336.100000000002</v>
      </c>
      <c r="H240" s="78">
        <f t="shared" si="33"/>
        <v>19336.100000000002</v>
      </c>
      <c r="I240" s="78">
        <f>I241</f>
        <v>0</v>
      </c>
    </row>
    <row r="241" spans="1:9" s="39" customFormat="1" ht="15.75">
      <c r="A241" s="112" t="s">
        <v>122</v>
      </c>
      <c r="B241" s="137"/>
      <c r="C241" s="174" t="s">
        <v>185</v>
      </c>
      <c r="D241" s="173" t="s">
        <v>181</v>
      </c>
      <c r="E241" s="200" t="s">
        <v>40</v>
      </c>
      <c r="F241" s="202"/>
      <c r="G241" s="74">
        <f t="shared" si="33"/>
        <v>19336.100000000002</v>
      </c>
      <c r="H241" s="74">
        <f t="shared" si="33"/>
        <v>19336.100000000002</v>
      </c>
      <c r="I241" s="74">
        <f>I242</f>
        <v>0</v>
      </c>
    </row>
    <row r="242" spans="1:9" s="39" customFormat="1" ht="15.75">
      <c r="A242" s="144" t="s">
        <v>203</v>
      </c>
      <c r="B242" s="111"/>
      <c r="C242" s="174" t="s">
        <v>185</v>
      </c>
      <c r="D242" s="174" t="s">
        <v>181</v>
      </c>
      <c r="E242" s="200" t="s">
        <v>40</v>
      </c>
      <c r="F242" s="202" t="s">
        <v>204</v>
      </c>
      <c r="G242" s="74">
        <f t="shared" si="33"/>
        <v>19336.100000000002</v>
      </c>
      <c r="H242" s="74">
        <f t="shared" si="33"/>
        <v>19336.100000000002</v>
      </c>
      <c r="I242" s="74">
        <f>I243</f>
        <v>0</v>
      </c>
    </row>
    <row r="243" spans="1:9" ht="15.75">
      <c r="A243" s="144" t="s">
        <v>219</v>
      </c>
      <c r="B243" s="137"/>
      <c r="C243" s="174" t="s">
        <v>185</v>
      </c>
      <c r="D243" s="174" t="s">
        <v>181</v>
      </c>
      <c r="E243" s="200" t="s">
        <v>40</v>
      </c>
      <c r="F243" s="202" t="s">
        <v>218</v>
      </c>
      <c r="G243" s="74">
        <f>17780.9+294.2+575.3+535.7+150</f>
        <v>19336.100000000002</v>
      </c>
      <c r="H243" s="74">
        <f>17780.9+294.2+575.3+535.7+150</f>
        <v>19336.100000000002</v>
      </c>
      <c r="I243" s="74">
        <f>G243-H243</f>
        <v>0</v>
      </c>
    </row>
    <row r="244" spans="1:9" ht="15.75">
      <c r="A244" s="139" t="s">
        <v>415</v>
      </c>
      <c r="B244" s="140" t="s">
        <v>211</v>
      </c>
      <c r="C244" s="222"/>
      <c r="D244" s="222"/>
      <c r="E244" s="223"/>
      <c r="F244" s="222"/>
      <c r="G244" s="78">
        <f aca="true" t="shared" si="34" ref="G244:H246">G245</f>
        <v>2550.5</v>
      </c>
      <c r="H244" s="78">
        <f t="shared" si="34"/>
        <v>2550.5</v>
      </c>
      <c r="I244" s="78">
        <f>I245</f>
        <v>0</v>
      </c>
    </row>
    <row r="245" spans="1:9" ht="15.75">
      <c r="A245" s="106" t="s">
        <v>154</v>
      </c>
      <c r="B245" s="107"/>
      <c r="C245" s="173" t="s">
        <v>180</v>
      </c>
      <c r="D245" s="174"/>
      <c r="E245" s="200" t="s">
        <v>201</v>
      </c>
      <c r="F245" s="174"/>
      <c r="G245" s="78">
        <f t="shared" si="34"/>
        <v>2550.5</v>
      </c>
      <c r="H245" s="78">
        <f t="shared" si="34"/>
        <v>2550.5</v>
      </c>
      <c r="I245" s="78">
        <f>I246</f>
        <v>0</v>
      </c>
    </row>
    <row r="246" spans="1:9" ht="26.25">
      <c r="A246" s="106" t="s">
        <v>175</v>
      </c>
      <c r="B246" s="137"/>
      <c r="C246" s="173" t="s">
        <v>180</v>
      </c>
      <c r="D246" s="173" t="s">
        <v>181</v>
      </c>
      <c r="E246" s="201" t="s">
        <v>201</v>
      </c>
      <c r="F246" s="224"/>
      <c r="G246" s="98">
        <f t="shared" si="34"/>
        <v>2550.5</v>
      </c>
      <c r="H246" s="98">
        <f t="shared" si="34"/>
        <v>2550.5</v>
      </c>
      <c r="I246" s="98">
        <f>I247</f>
        <v>0</v>
      </c>
    </row>
    <row r="247" spans="1:9" ht="15.75">
      <c r="A247" s="106" t="s">
        <v>491</v>
      </c>
      <c r="B247" s="137"/>
      <c r="C247" s="173" t="s">
        <v>180</v>
      </c>
      <c r="D247" s="173" t="s">
        <v>181</v>
      </c>
      <c r="E247" s="201" t="s">
        <v>74</v>
      </c>
      <c r="F247" s="224"/>
      <c r="G247" s="98">
        <f>G248+G252</f>
        <v>2550.5</v>
      </c>
      <c r="H247" s="98">
        <f>H248+H252</f>
        <v>2550.5</v>
      </c>
      <c r="I247" s="98">
        <f>I248+I252</f>
        <v>0</v>
      </c>
    </row>
    <row r="248" spans="1:9" ht="15.75">
      <c r="A248" s="106" t="s">
        <v>492</v>
      </c>
      <c r="B248" s="138"/>
      <c r="C248" s="173" t="s">
        <v>180</v>
      </c>
      <c r="D248" s="173" t="s">
        <v>181</v>
      </c>
      <c r="E248" s="201" t="s">
        <v>75</v>
      </c>
      <c r="F248" s="224"/>
      <c r="G248" s="98">
        <f aca="true" t="shared" si="35" ref="G248:H250">G249</f>
        <v>1242.5</v>
      </c>
      <c r="H248" s="98">
        <f t="shared" si="35"/>
        <v>1242.5</v>
      </c>
      <c r="I248" s="98">
        <f>I249</f>
        <v>0</v>
      </c>
    </row>
    <row r="249" spans="1:9" s="39" customFormat="1" ht="15.75">
      <c r="A249" s="112" t="s">
        <v>123</v>
      </c>
      <c r="B249" s="137"/>
      <c r="C249" s="174" t="s">
        <v>180</v>
      </c>
      <c r="D249" s="174" t="s">
        <v>181</v>
      </c>
      <c r="E249" s="200" t="s">
        <v>76</v>
      </c>
      <c r="F249" s="225"/>
      <c r="G249" s="99">
        <f t="shared" si="35"/>
        <v>1242.5</v>
      </c>
      <c r="H249" s="99">
        <f t="shared" si="35"/>
        <v>1242.5</v>
      </c>
      <c r="I249" s="99">
        <f>I250</f>
        <v>0</v>
      </c>
    </row>
    <row r="250" spans="1:9" ht="25.5">
      <c r="A250" s="110" t="s">
        <v>139</v>
      </c>
      <c r="B250" s="137"/>
      <c r="C250" s="174" t="s">
        <v>180</v>
      </c>
      <c r="D250" s="174" t="s">
        <v>181</v>
      </c>
      <c r="E250" s="200" t="s">
        <v>76</v>
      </c>
      <c r="F250" s="202" t="s">
        <v>228</v>
      </c>
      <c r="G250" s="99">
        <f t="shared" si="35"/>
        <v>1242.5</v>
      </c>
      <c r="H250" s="99">
        <f t="shared" si="35"/>
        <v>1242.5</v>
      </c>
      <c r="I250" s="99">
        <f>I251</f>
        <v>0</v>
      </c>
    </row>
    <row r="251" spans="1:9" ht="15.75">
      <c r="A251" s="110" t="s">
        <v>223</v>
      </c>
      <c r="B251" s="137"/>
      <c r="C251" s="174" t="s">
        <v>180</v>
      </c>
      <c r="D251" s="174" t="s">
        <v>181</v>
      </c>
      <c r="E251" s="200" t="s">
        <v>76</v>
      </c>
      <c r="F251" s="202" t="s">
        <v>224</v>
      </c>
      <c r="G251" s="74">
        <f>954.3+288.2</f>
        <v>1242.5</v>
      </c>
      <c r="H251" s="74">
        <f>954.3+288.2</f>
        <v>1242.5</v>
      </c>
      <c r="I251" s="74">
        <f>G251-H251</f>
        <v>0</v>
      </c>
    </row>
    <row r="252" spans="1:9" ht="27" customHeight="1">
      <c r="A252" s="114" t="s">
        <v>415</v>
      </c>
      <c r="B252" s="138"/>
      <c r="C252" s="173" t="s">
        <v>180</v>
      </c>
      <c r="D252" s="173" t="s">
        <v>181</v>
      </c>
      <c r="E252" s="201" t="s">
        <v>77</v>
      </c>
      <c r="F252" s="203"/>
      <c r="G252" s="78">
        <f>G253</f>
        <v>1308</v>
      </c>
      <c r="H252" s="78">
        <f>H253</f>
        <v>1308</v>
      </c>
      <c r="I252" s="78">
        <f>I253</f>
        <v>0</v>
      </c>
    </row>
    <row r="253" spans="1:9" ht="15.75">
      <c r="A253" s="112" t="s">
        <v>123</v>
      </c>
      <c r="B253" s="137"/>
      <c r="C253" s="174" t="s">
        <v>180</v>
      </c>
      <c r="D253" s="174" t="s">
        <v>181</v>
      </c>
      <c r="E253" s="200" t="s">
        <v>78</v>
      </c>
      <c r="F253" s="225"/>
      <c r="G253" s="99">
        <f>G254+G256</f>
        <v>1308</v>
      </c>
      <c r="H253" s="99">
        <f>H254+H256</f>
        <v>1308</v>
      </c>
      <c r="I253" s="99">
        <f>I254+I256</f>
        <v>0</v>
      </c>
    </row>
    <row r="254" spans="1:9" ht="25.5">
      <c r="A254" s="110" t="s">
        <v>139</v>
      </c>
      <c r="B254" s="137"/>
      <c r="C254" s="174" t="s">
        <v>180</v>
      </c>
      <c r="D254" s="174" t="s">
        <v>181</v>
      </c>
      <c r="E254" s="200" t="s">
        <v>78</v>
      </c>
      <c r="F254" s="202" t="s">
        <v>228</v>
      </c>
      <c r="G254" s="99">
        <f>G255</f>
        <v>1078</v>
      </c>
      <c r="H254" s="99">
        <f>H255</f>
        <v>1090</v>
      </c>
      <c r="I254" s="99">
        <f>I255</f>
        <v>-12</v>
      </c>
    </row>
    <row r="255" spans="1:9" ht="15.75">
      <c r="A255" s="110" t="s">
        <v>223</v>
      </c>
      <c r="B255" s="137"/>
      <c r="C255" s="174" t="s">
        <v>180</v>
      </c>
      <c r="D255" s="174" t="s">
        <v>181</v>
      </c>
      <c r="E255" s="200" t="s">
        <v>78</v>
      </c>
      <c r="F255" s="202" t="s">
        <v>224</v>
      </c>
      <c r="G255" s="74">
        <v>1078</v>
      </c>
      <c r="H255" s="74">
        <f>769.6+88+232.4</f>
        <v>1090</v>
      </c>
      <c r="I255" s="74">
        <f>G255-H255</f>
        <v>-12</v>
      </c>
    </row>
    <row r="256" spans="1:9" ht="21.75" customHeight="1">
      <c r="A256" s="110" t="s">
        <v>264</v>
      </c>
      <c r="B256" s="113"/>
      <c r="C256" s="174" t="s">
        <v>180</v>
      </c>
      <c r="D256" s="174" t="s">
        <v>181</v>
      </c>
      <c r="E256" s="200" t="s">
        <v>78</v>
      </c>
      <c r="F256" s="202" t="s">
        <v>216</v>
      </c>
      <c r="G256" s="74">
        <f>G257</f>
        <v>230</v>
      </c>
      <c r="H256" s="74">
        <f>H257</f>
        <v>218</v>
      </c>
      <c r="I256" s="74">
        <f>I257</f>
        <v>12</v>
      </c>
    </row>
    <row r="257" spans="1:9" ht="27" customHeight="1">
      <c r="A257" s="144" t="s">
        <v>217</v>
      </c>
      <c r="B257" s="113"/>
      <c r="C257" s="174" t="s">
        <v>180</v>
      </c>
      <c r="D257" s="174" t="s">
        <v>181</v>
      </c>
      <c r="E257" s="200" t="s">
        <v>78</v>
      </c>
      <c r="F257" s="202" t="s">
        <v>215</v>
      </c>
      <c r="G257" s="74">
        <v>230</v>
      </c>
      <c r="H257" s="74">
        <f>133+35+50</f>
        <v>218</v>
      </c>
      <c r="I257" s="74">
        <f>G257-H257</f>
        <v>12</v>
      </c>
    </row>
    <row r="258" spans="1:10" ht="26.25" customHeight="1">
      <c r="A258" s="139" t="s">
        <v>416</v>
      </c>
      <c r="B258" s="140" t="s">
        <v>200</v>
      </c>
      <c r="C258" s="222"/>
      <c r="D258" s="222"/>
      <c r="E258" s="223"/>
      <c r="F258" s="222"/>
      <c r="G258" s="78">
        <f>G259+G483</f>
        <v>896546.3010000002</v>
      </c>
      <c r="H258" s="78">
        <f>H259+H483</f>
        <v>896764.8</v>
      </c>
      <c r="I258" s="78">
        <f>I259+I483</f>
        <v>-218.4989999999969</v>
      </c>
      <c r="J258" s="15">
        <v>0.1</v>
      </c>
    </row>
    <row r="259" spans="1:9" ht="18.75" customHeight="1">
      <c r="A259" s="106" t="s">
        <v>192</v>
      </c>
      <c r="B259" s="111"/>
      <c r="C259" s="173" t="s">
        <v>152</v>
      </c>
      <c r="D259" s="174"/>
      <c r="E259" s="200"/>
      <c r="F259" s="202"/>
      <c r="G259" s="98">
        <f>G260+G300+G396+G443+G470</f>
        <v>867389.0010000002</v>
      </c>
      <c r="H259" s="98">
        <f>H260+H300+H396+H443+H470</f>
        <v>867377.5</v>
      </c>
      <c r="I259" s="98">
        <f>I260+I300+I396+I443+I470</f>
        <v>11.501000000002875</v>
      </c>
    </row>
    <row r="260" spans="1:9" ht="18.75" customHeight="1">
      <c r="A260" s="106" t="s">
        <v>174</v>
      </c>
      <c r="B260" s="111"/>
      <c r="C260" s="173" t="s">
        <v>152</v>
      </c>
      <c r="D260" s="173" t="s">
        <v>180</v>
      </c>
      <c r="E260" s="200"/>
      <c r="F260" s="202"/>
      <c r="G260" s="98">
        <f>G261+G296</f>
        <v>238413.199</v>
      </c>
      <c r="H260" s="98">
        <f>H261+H296</f>
        <v>240225.59999999998</v>
      </c>
      <c r="I260" s="98">
        <f>I261+I296</f>
        <v>-1812.4009999999998</v>
      </c>
    </row>
    <row r="261" spans="1:9" ht="15.75">
      <c r="A261" s="106" t="s">
        <v>434</v>
      </c>
      <c r="B261" s="107"/>
      <c r="C261" s="173" t="s">
        <v>152</v>
      </c>
      <c r="D261" s="173" t="s">
        <v>180</v>
      </c>
      <c r="E261" s="201" t="s">
        <v>13</v>
      </c>
      <c r="F261" s="203"/>
      <c r="G261" s="98">
        <f>G262</f>
        <v>237973.748</v>
      </c>
      <c r="H261" s="98">
        <f>H262</f>
        <v>240035.59999999998</v>
      </c>
      <c r="I261" s="98">
        <f>I262</f>
        <v>-2061.852</v>
      </c>
    </row>
    <row r="262" spans="1:9" s="36" customFormat="1" ht="15.75">
      <c r="A262" s="145" t="s">
        <v>440</v>
      </c>
      <c r="B262" s="121"/>
      <c r="C262" s="153" t="s">
        <v>152</v>
      </c>
      <c r="D262" s="153" t="s">
        <v>180</v>
      </c>
      <c r="E262" s="206" t="s">
        <v>14</v>
      </c>
      <c r="F262" s="207"/>
      <c r="G262" s="98">
        <f>G263+G266+G269+G272+G275+G278+G281+G284+G290+G293+G287</f>
        <v>237973.748</v>
      </c>
      <c r="H262" s="98">
        <f>H263+H266+H269+H272+H275+H278+H281+H284+H290+H293+H287</f>
        <v>240035.59999999998</v>
      </c>
      <c r="I262" s="98">
        <f>I263+I266+I269+I272+I275+I278+I281+I284+I290+I293+I287</f>
        <v>-2061.852</v>
      </c>
    </row>
    <row r="263" spans="1:9" s="36" customFormat="1" ht="15.75">
      <c r="A263" s="146" t="s">
        <v>125</v>
      </c>
      <c r="B263" s="123"/>
      <c r="C263" s="152" t="s">
        <v>152</v>
      </c>
      <c r="D263" s="152" t="s">
        <v>180</v>
      </c>
      <c r="E263" s="210" t="s">
        <v>30</v>
      </c>
      <c r="F263" s="208"/>
      <c r="G263" s="99">
        <f aca="true" t="shared" si="36" ref="G263:I264">G264</f>
        <v>93491.853</v>
      </c>
      <c r="H263" s="99">
        <f t="shared" si="36"/>
        <v>95547.3</v>
      </c>
      <c r="I263" s="99">
        <f t="shared" si="36"/>
        <v>-2055.447</v>
      </c>
    </row>
    <row r="264" spans="1:9" s="36" customFormat="1" ht="15.75">
      <c r="A264" s="147" t="s">
        <v>220</v>
      </c>
      <c r="B264" s="123"/>
      <c r="C264" s="152" t="s">
        <v>152</v>
      </c>
      <c r="D264" s="152" t="s">
        <v>180</v>
      </c>
      <c r="E264" s="210" t="s">
        <v>30</v>
      </c>
      <c r="F264" s="208" t="s">
        <v>206</v>
      </c>
      <c r="G264" s="99">
        <f t="shared" si="36"/>
        <v>93491.853</v>
      </c>
      <c r="H264" s="99">
        <f t="shared" si="36"/>
        <v>95547.3</v>
      </c>
      <c r="I264" s="99">
        <f t="shared" si="36"/>
        <v>-2055.447</v>
      </c>
    </row>
    <row r="265" spans="1:9" s="36" customFormat="1" ht="15.75">
      <c r="A265" s="148" t="s">
        <v>221</v>
      </c>
      <c r="B265" s="123"/>
      <c r="C265" s="152" t="s">
        <v>152</v>
      </c>
      <c r="D265" s="152" t="s">
        <v>180</v>
      </c>
      <c r="E265" s="210" t="s">
        <v>30</v>
      </c>
      <c r="F265" s="208" t="s">
        <v>222</v>
      </c>
      <c r="G265" s="99">
        <v>93491.853</v>
      </c>
      <c r="H265" s="99">
        <v>95547.3</v>
      </c>
      <c r="I265" s="74">
        <f>G265-H265</f>
        <v>-2055.447</v>
      </c>
    </row>
    <row r="266" spans="1:9" s="36" customFormat="1" ht="15.75">
      <c r="A266" s="130" t="s">
        <v>253</v>
      </c>
      <c r="B266" s="123"/>
      <c r="C266" s="152" t="s">
        <v>152</v>
      </c>
      <c r="D266" s="152" t="s">
        <v>180</v>
      </c>
      <c r="E266" s="210" t="s">
        <v>254</v>
      </c>
      <c r="F266" s="208"/>
      <c r="G266" s="99">
        <f aca="true" t="shared" si="37" ref="G266:I270">G267</f>
        <v>610.056</v>
      </c>
      <c r="H266" s="99">
        <f t="shared" si="37"/>
        <v>616.4</v>
      </c>
      <c r="I266" s="99">
        <f t="shared" si="37"/>
        <v>-6.343999999999937</v>
      </c>
    </row>
    <row r="267" spans="1:9" ht="18" customHeight="1">
      <c r="A267" s="147" t="s">
        <v>220</v>
      </c>
      <c r="B267" s="123"/>
      <c r="C267" s="152" t="s">
        <v>152</v>
      </c>
      <c r="D267" s="152" t="s">
        <v>180</v>
      </c>
      <c r="E267" s="210" t="s">
        <v>254</v>
      </c>
      <c r="F267" s="208" t="s">
        <v>206</v>
      </c>
      <c r="G267" s="99">
        <f t="shared" si="37"/>
        <v>610.056</v>
      </c>
      <c r="H267" s="99">
        <f t="shared" si="37"/>
        <v>616.4</v>
      </c>
      <c r="I267" s="99">
        <f t="shared" si="37"/>
        <v>-6.343999999999937</v>
      </c>
    </row>
    <row r="268" spans="1:9" ht="27.75" customHeight="1">
      <c r="A268" s="148" t="s">
        <v>221</v>
      </c>
      <c r="B268" s="123"/>
      <c r="C268" s="152" t="s">
        <v>152</v>
      </c>
      <c r="D268" s="152" t="s">
        <v>180</v>
      </c>
      <c r="E268" s="210" t="s">
        <v>254</v>
      </c>
      <c r="F268" s="208" t="s">
        <v>222</v>
      </c>
      <c r="G268" s="99">
        <v>610.056</v>
      </c>
      <c r="H268" s="99">
        <v>616.4</v>
      </c>
      <c r="I268" s="74">
        <f>G268-H268</f>
        <v>-6.343999999999937</v>
      </c>
    </row>
    <row r="269" spans="1:9" ht="27.75" customHeight="1">
      <c r="A269" s="151" t="s">
        <v>8</v>
      </c>
      <c r="B269" s="123"/>
      <c r="C269" s="152" t="s">
        <v>152</v>
      </c>
      <c r="D269" s="152" t="s">
        <v>180</v>
      </c>
      <c r="E269" s="208" t="s">
        <v>667</v>
      </c>
      <c r="F269" s="208"/>
      <c r="G269" s="99">
        <f>G270</f>
        <v>774.887</v>
      </c>
      <c r="H269" s="99">
        <f>H270</f>
        <v>774.9</v>
      </c>
      <c r="I269" s="99">
        <f t="shared" si="37"/>
        <v>-0.013000000000033651</v>
      </c>
    </row>
    <row r="270" spans="1:9" ht="27.75" customHeight="1">
      <c r="A270" s="151" t="s">
        <v>220</v>
      </c>
      <c r="B270" s="123"/>
      <c r="C270" s="152" t="s">
        <v>152</v>
      </c>
      <c r="D270" s="152" t="s">
        <v>180</v>
      </c>
      <c r="E270" s="208" t="s">
        <v>667</v>
      </c>
      <c r="F270" s="208" t="s">
        <v>206</v>
      </c>
      <c r="G270" s="99">
        <f>G271</f>
        <v>774.887</v>
      </c>
      <c r="H270" s="99">
        <f>H271</f>
        <v>774.9</v>
      </c>
      <c r="I270" s="99">
        <f t="shared" si="37"/>
        <v>-0.013000000000033651</v>
      </c>
    </row>
    <row r="271" spans="1:9" ht="27.75" customHeight="1">
      <c r="A271" s="151" t="s">
        <v>221</v>
      </c>
      <c r="B271" s="123"/>
      <c r="C271" s="152" t="s">
        <v>152</v>
      </c>
      <c r="D271" s="152" t="s">
        <v>180</v>
      </c>
      <c r="E271" s="208" t="s">
        <v>667</v>
      </c>
      <c r="F271" s="208" t="s">
        <v>222</v>
      </c>
      <c r="G271" s="99">
        <v>774.887</v>
      </c>
      <c r="H271" s="99">
        <v>774.9</v>
      </c>
      <c r="I271" s="74">
        <f>G271-H271</f>
        <v>-0.013000000000033651</v>
      </c>
    </row>
    <row r="272" spans="1:9" ht="18.75" customHeight="1">
      <c r="A272" s="130" t="s">
        <v>323</v>
      </c>
      <c r="B272" s="149"/>
      <c r="C272" s="152" t="s">
        <v>152</v>
      </c>
      <c r="D272" s="152" t="s">
        <v>180</v>
      </c>
      <c r="E272" s="210" t="s">
        <v>28</v>
      </c>
      <c r="F272" s="208"/>
      <c r="G272" s="99">
        <f aca="true" t="shared" si="38" ref="G272:I273">G273</f>
        <v>460.4</v>
      </c>
      <c r="H272" s="99">
        <f t="shared" si="38"/>
        <v>460.4</v>
      </c>
      <c r="I272" s="99">
        <f t="shared" si="38"/>
        <v>0</v>
      </c>
    </row>
    <row r="273" spans="1:9" ht="15" customHeight="1">
      <c r="A273" s="147" t="s">
        <v>220</v>
      </c>
      <c r="B273" s="149"/>
      <c r="C273" s="152" t="s">
        <v>152</v>
      </c>
      <c r="D273" s="152" t="s">
        <v>180</v>
      </c>
      <c r="E273" s="210" t="s">
        <v>28</v>
      </c>
      <c r="F273" s="208" t="s">
        <v>206</v>
      </c>
      <c r="G273" s="99">
        <f t="shared" si="38"/>
        <v>460.4</v>
      </c>
      <c r="H273" s="99">
        <f t="shared" si="38"/>
        <v>460.4</v>
      </c>
      <c r="I273" s="99">
        <f t="shared" si="38"/>
        <v>0</v>
      </c>
    </row>
    <row r="274" spans="1:9" ht="22.5" customHeight="1">
      <c r="A274" s="148" t="s">
        <v>221</v>
      </c>
      <c r="B274" s="149"/>
      <c r="C274" s="152" t="s">
        <v>152</v>
      </c>
      <c r="D274" s="152" t="s">
        <v>180</v>
      </c>
      <c r="E274" s="210" t="s">
        <v>28</v>
      </c>
      <c r="F274" s="208" t="s">
        <v>222</v>
      </c>
      <c r="G274" s="99">
        <v>460.4</v>
      </c>
      <c r="H274" s="99">
        <v>460.4</v>
      </c>
      <c r="I274" s="74">
        <f>G274-H274</f>
        <v>0</v>
      </c>
    </row>
    <row r="275" spans="1:9" ht="15.75">
      <c r="A275" s="130" t="s">
        <v>324</v>
      </c>
      <c r="B275" s="149"/>
      <c r="C275" s="152" t="s">
        <v>152</v>
      </c>
      <c r="D275" s="152" t="s">
        <v>180</v>
      </c>
      <c r="E275" s="210" t="s">
        <v>29</v>
      </c>
      <c r="F275" s="208"/>
      <c r="G275" s="99">
        <f aca="true" t="shared" si="39" ref="G275:I276">G276</f>
        <v>99.7</v>
      </c>
      <c r="H275" s="99">
        <f t="shared" si="39"/>
        <v>99.7</v>
      </c>
      <c r="I275" s="99">
        <f t="shared" si="39"/>
        <v>0</v>
      </c>
    </row>
    <row r="276" spans="1:9" ht="15.75">
      <c r="A276" s="147" t="s">
        <v>220</v>
      </c>
      <c r="B276" s="149"/>
      <c r="C276" s="152" t="s">
        <v>152</v>
      </c>
      <c r="D276" s="152" t="s">
        <v>180</v>
      </c>
      <c r="E276" s="210" t="s">
        <v>29</v>
      </c>
      <c r="F276" s="208" t="s">
        <v>206</v>
      </c>
      <c r="G276" s="99">
        <f t="shared" si="39"/>
        <v>99.7</v>
      </c>
      <c r="H276" s="99">
        <f t="shared" si="39"/>
        <v>99.7</v>
      </c>
      <c r="I276" s="99">
        <f t="shared" si="39"/>
        <v>0</v>
      </c>
    </row>
    <row r="277" spans="1:9" ht="15.75">
      <c r="A277" s="148" t="s">
        <v>221</v>
      </c>
      <c r="B277" s="149"/>
      <c r="C277" s="152" t="s">
        <v>152</v>
      </c>
      <c r="D277" s="152" t="s">
        <v>180</v>
      </c>
      <c r="E277" s="210" t="s">
        <v>29</v>
      </c>
      <c r="F277" s="208" t="s">
        <v>222</v>
      </c>
      <c r="G277" s="99">
        <v>99.7</v>
      </c>
      <c r="H277" s="99">
        <v>99.7</v>
      </c>
      <c r="I277" s="74">
        <f>G277-H277</f>
        <v>0</v>
      </c>
    </row>
    <row r="278" spans="1:9" ht="15.75">
      <c r="A278" s="130" t="s">
        <v>325</v>
      </c>
      <c r="B278" s="149"/>
      <c r="C278" s="152" t="s">
        <v>152</v>
      </c>
      <c r="D278" s="152" t="s">
        <v>180</v>
      </c>
      <c r="E278" s="210" t="s">
        <v>92</v>
      </c>
      <c r="F278" s="208"/>
      <c r="G278" s="99">
        <f aca="true" t="shared" si="40" ref="G278:I279">G279</f>
        <v>1116.2</v>
      </c>
      <c r="H278" s="99">
        <f t="shared" si="40"/>
        <v>1116.2</v>
      </c>
      <c r="I278" s="99">
        <f t="shared" si="40"/>
        <v>0</v>
      </c>
    </row>
    <row r="279" spans="1:9" ht="15.75">
      <c r="A279" s="147" t="s">
        <v>220</v>
      </c>
      <c r="B279" s="149"/>
      <c r="C279" s="152" t="s">
        <v>152</v>
      </c>
      <c r="D279" s="152" t="s">
        <v>180</v>
      </c>
      <c r="E279" s="210" t="s">
        <v>92</v>
      </c>
      <c r="F279" s="208" t="s">
        <v>206</v>
      </c>
      <c r="G279" s="99">
        <f t="shared" si="40"/>
        <v>1116.2</v>
      </c>
      <c r="H279" s="99">
        <f t="shared" si="40"/>
        <v>1116.2</v>
      </c>
      <c r="I279" s="99">
        <f t="shared" si="40"/>
        <v>0</v>
      </c>
    </row>
    <row r="280" spans="1:9" ht="15.75">
      <c r="A280" s="148" t="s">
        <v>221</v>
      </c>
      <c r="B280" s="149"/>
      <c r="C280" s="152" t="s">
        <v>152</v>
      </c>
      <c r="D280" s="152" t="s">
        <v>180</v>
      </c>
      <c r="E280" s="210" t="s">
        <v>92</v>
      </c>
      <c r="F280" s="208" t="s">
        <v>222</v>
      </c>
      <c r="G280" s="99">
        <v>1116.2</v>
      </c>
      <c r="H280" s="99">
        <v>1116.2</v>
      </c>
      <c r="I280" s="74">
        <f>G280-H280</f>
        <v>0</v>
      </c>
    </row>
    <row r="281" spans="1:9" ht="15.75">
      <c r="A281" s="130" t="s">
        <v>430</v>
      </c>
      <c r="B281" s="149"/>
      <c r="C281" s="152" t="s">
        <v>152</v>
      </c>
      <c r="D281" s="152" t="s">
        <v>180</v>
      </c>
      <c r="E281" s="210" t="s">
        <v>431</v>
      </c>
      <c r="F281" s="208"/>
      <c r="G281" s="99">
        <f aca="true" t="shared" si="41" ref="G281:I282">G282</f>
        <v>39.852</v>
      </c>
      <c r="H281" s="99">
        <f t="shared" si="41"/>
        <v>39.9</v>
      </c>
      <c r="I281" s="99">
        <f t="shared" si="41"/>
        <v>-0.04800000000000182</v>
      </c>
    </row>
    <row r="282" spans="1:9" ht="15.75">
      <c r="A282" s="147" t="s">
        <v>220</v>
      </c>
      <c r="B282" s="149"/>
      <c r="C282" s="152" t="s">
        <v>152</v>
      </c>
      <c r="D282" s="152" t="s">
        <v>180</v>
      </c>
      <c r="E282" s="210" t="s">
        <v>431</v>
      </c>
      <c r="F282" s="208" t="s">
        <v>206</v>
      </c>
      <c r="G282" s="99">
        <f t="shared" si="41"/>
        <v>39.852</v>
      </c>
      <c r="H282" s="99">
        <f t="shared" si="41"/>
        <v>39.9</v>
      </c>
      <c r="I282" s="99">
        <f t="shared" si="41"/>
        <v>-0.04800000000000182</v>
      </c>
    </row>
    <row r="283" spans="1:9" ht="15.75">
      <c r="A283" s="148" t="s">
        <v>221</v>
      </c>
      <c r="B283" s="149"/>
      <c r="C283" s="152" t="s">
        <v>152</v>
      </c>
      <c r="D283" s="152" t="s">
        <v>180</v>
      </c>
      <c r="E283" s="210" t="s">
        <v>431</v>
      </c>
      <c r="F283" s="208" t="s">
        <v>222</v>
      </c>
      <c r="G283" s="99">
        <v>39.852</v>
      </c>
      <c r="H283" s="99">
        <v>39.9</v>
      </c>
      <c r="I283" s="74">
        <f>G283-H283</f>
        <v>-0.04800000000000182</v>
      </c>
    </row>
    <row r="284" spans="1:9" ht="30" customHeight="1">
      <c r="A284" s="150" t="s">
        <v>665</v>
      </c>
      <c r="B284" s="156"/>
      <c r="C284" s="152" t="s">
        <v>152</v>
      </c>
      <c r="D284" s="152" t="s">
        <v>180</v>
      </c>
      <c r="E284" s="208" t="s">
        <v>664</v>
      </c>
      <c r="F284" s="208"/>
      <c r="G284" s="99">
        <f aca="true" t="shared" si="42" ref="G284:I285">G285</f>
        <v>1106.5</v>
      </c>
      <c r="H284" s="99">
        <f t="shared" si="42"/>
        <v>1106.5</v>
      </c>
      <c r="I284" s="99">
        <f t="shared" si="42"/>
        <v>0</v>
      </c>
    </row>
    <row r="285" spans="1:9" ht="15.75">
      <c r="A285" s="147" t="s">
        <v>220</v>
      </c>
      <c r="B285" s="156"/>
      <c r="C285" s="152" t="s">
        <v>152</v>
      </c>
      <c r="D285" s="152" t="s">
        <v>180</v>
      </c>
      <c r="E285" s="208" t="s">
        <v>664</v>
      </c>
      <c r="F285" s="208" t="s">
        <v>206</v>
      </c>
      <c r="G285" s="99">
        <f t="shared" si="42"/>
        <v>1106.5</v>
      </c>
      <c r="H285" s="99">
        <f t="shared" si="42"/>
        <v>1106.5</v>
      </c>
      <c r="I285" s="99">
        <f t="shared" si="42"/>
        <v>0</v>
      </c>
    </row>
    <row r="286" spans="1:9" ht="21.75" customHeight="1">
      <c r="A286" s="151" t="s">
        <v>221</v>
      </c>
      <c r="B286" s="156"/>
      <c r="C286" s="152" t="s">
        <v>152</v>
      </c>
      <c r="D286" s="152" t="s">
        <v>180</v>
      </c>
      <c r="E286" s="208" t="s">
        <v>664</v>
      </c>
      <c r="F286" s="208" t="s">
        <v>222</v>
      </c>
      <c r="G286" s="99">
        <v>1106.5</v>
      </c>
      <c r="H286" s="99">
        <v>1106.5</v>
      </c>
      <c r="I286" s="74">
        <f>G286-H286</f>
        <v>0</v>
      </c>
    </row>
    <row r="287" spans="1:9" ht="17.25" customHeight="1">
      <c r="A287" s="150" t="s">
        <v>680</v>
      </c>
      <c r="B287" s="156"/>
      <c r="C287" s="152" t="s">
        <v>152</v>
      </c>
      <c r="D287" s="152" t="s">
        <v>180</v>
      </c>
      <c r="E287" s="208" t="s">
        <v>684</v>
      </c>
      <c r="F287" s="208"/>
      <c r="G287" s="99">
        <f aca="true" t="shared" si="43" ref="G287:I288">G288</f>
        <v>2200</v>
      </c>
      <c r="H287" s="99">
        <f t="shared" si="43"/>
        <v>2200</v>
      </c>
      <c r="I287" s="99">
        <f t="shared" si="43"/>
        <v>0</v>
      </c>
    </row>
    <row r="288" spans="1:9" ht="15.75">
      <c r="A288" s="147" t="s">
        <v>220</v>
      </c>
      <c r="B288" s="156"/>
      <c r="C288" s="152" t="s">
        <v>152</v>
      </c>
      <c r="D288" s="152" t="s">
        <v>180</v>
      </c>
      <c r="E288" s="208" t="s">
        <v>684</v>
      </c>
      <c r="F288" s="208" t="s">
        <v>206</v>
      </c>
      <c r="G288" s="99">
        <f t="shared" si="43"/>
        <v>2200</v>
      </c>
      <c r="H288" s="99">
        <f t="shared" si="43"/>
        <v>2200</v>
      </c>
      <c r="I288" s="99">
        <f t="shared" si="43"/>
        <v>0</v>
      </c>
    </row>
    <row r="289" spans="1:9" ht="21.75" customHeight="1">
      <c r="A289" s="151" t="s">
        <v>221</v>
      </c>
      <c r="B289" s="156"/>
      <c r="C289" s="152" t="s">
        <v>152</v>
      </c>
      <c r="D289" s="152" t="s">
        <v>180</v>
      </c>
      <c r="E289" s="208" t="s">
        <v>684</v>
      </c>
      <c r="F289" s="208" t="s">
        <v>222</v>
      </c>
      <c r="G289" s="99">
        <v>2200</v>
      </c>
      <c r="H289" s="99">
        <v>2200</v>
      </c>
      <c r="I289" s="74">
        <f>G289-H289</f>
        <v>0</v>
      </c>
    </row>
    <row r="290" spans="1:9" ht="39">
      <c r="A290" s="150" t="s">
        <v>295</v>
      </c>
      <c r="B290" s="149"/>
      <c r="C290" s="152" t="s">
        <v>152</v>
      </c>
      <c r="D290" s="152" t="s">
        <v>180</v>
      </c>
      <c r="E290" s="210" t="s">
        <v>289</v>
      </c>
      <c r="F290" s="208"/>
      <c r="G290" s="99">
        <f aca="true" t="shared" si="44" ref="G290:I291">G291</f>
        <v>1622.8</v>
      </c>
      <c r="H290" s="99">
        <f t="shared" si="44"/>
        <v>1472.8</v>
      </c>
      <c r="I290" s="99">
        <f t="shared" si="44"/>
        <v>150</v>
      </c>
    </row>
    <row r="291" spans="1:9" ht="15.75">
      <c r="A291" s="147" t="s">
        <v>220</v>
      </c>
      <c r="B291" s="149"/>
      <c r="C291" s="152" t="s">
        <v>152</v>
      </c>
      <c r="D291" s="152" t="s">
        <v>180</v>
      </c>
      <c r="E291" s="210" t="s">
        <v>289</v>
      </c>
      <c r="F291" s="208" t="s">
        <v>206</v>
      </c>
      <c r="G291" s="99">
        <f t="shared" si="44"/>
        <v>1622.8</v>
      </c>
      <c r="H291" s="99">
        <f t="shared" si="44"/>
        <v>1472.8</v>
      </c>
      <c r="I291" s="99">
        <f t="shared" si="44"/>
        <v>150</v>
      </c>
    </row>
    <row r="292" spans="1:9" ht="15.75">
      <c r="A292" s="148" t="s">
        <v>221</v>
      </c>
      <c r="B292" s="149"/>
      <c r="C292" s="152" t="s">
        <v>152</v>
      </c>
      <c r="D292" s="152" t="s">
        <v>180</v>
      </c>
      <c r="E292" s="210" t="s">
        <v>289</v>
      </c>
      <c r="F292" s="208" t="s">
        <v>222</v>
      </c>
      <c r="G292" s="99">
        <v>1622.8</v>
      </c>
      <c r="H292" s="99">
        <v>1472.8</v>
      </c>
      <c r="I292" s="74">
        <f>G292-H292</f>
        <v>150</v>
      </c>
    </row>
    <row r="293" spans="1:9" ht="15.75">
      <c r="A293" s="124" t="s">
        <v>333</v>
      </c>
      <c r="B293" s="123"/>
      <c r="C293" s="152" t="s">
        <v>152</v>
      </c>
      <c r="D293" s="152" t="s">
        <v>180</v>
      </c>
      <c r="E293" s="210" t="s">
        <v>90</v>
      </c>
      <c r="F293" s="208"/>
      <c r="G293" s="74">
        <f aca="true" t="shared" si="45" ref="G293:I294">G294</f>
        <v>136451.5</v>
      </c>
      <c r="H293" s="74">
        <f t="shared" si="45"/>
        <v>136601.5</v>
      </c>
      <c r="I293" s="74">
        <f t="shared" si="45"/>
        <v>-150</v>
      </c>
    </row>
    <row r="294" spans="1:9" ht="15.75">
      <c r="A294" s="147" t="s">
        <v>220</v>
      </c>
      <c r="B294" s="123"/>
      <c r="C294" s="152" t="s">
        <v>202</v>
      </c>
      <c r="D294" s="152" t="s">
        <v>180</v>
      </c>
      <c r="E294" s="210" t="s">
        <v>90</v>
      </c>
      <c r="F294" s="208" t="s">
        <v>206</v>
      </c>
      <c r="G294" s="99">
        <f t="shared" si="45"/>
        <v>136451.5</v>
      </c>
      <c r="H294" s="99">
        <f t="shared" si="45"/>
        <v>136601.5</v>
      </c>
      <c r="I294" s="99">
        <f t="shared" si="45"/>
        <v>-150</v>
      </c>
    </row>
    <row r="295" spans="1:9" ht="15.75">
      <c r="A295" s="148" t="s">
        <v>221</v>
      </c>
      <c r="B295" s="123"/>
      <c r="C295" s="152" t="s">
        <v>152</v>
      </c>
      <c r="D295" s="152" t="s">
        <v>180</v>
      </c>
      <c r="E295" s="210" t="s">
        <v>90</v>
      </c>
      <c r="F295" s="208" t="s">
        <v>222</v>
      </c>
      <c r="G295" s="99">
        <v>136451.5</v>
      </c>
      <c r="H295" s="99">
        <f>136451.5+150</f>
        <v>136601.5</v>
      </c>
      <c r="I295" s="74">
        <f>G295-H295</f>
        <v>-150</v>
      </c>
    </row>
    <row r="296" spans="1:9" s="13" customFormat="1" ht="15.75">
      <c r="A296" s="145" t="s">
        <v>435</v>
      </c>
      <c r="B296" s="121"/>
      <c r="C296" s="153" t="s">
        <v>152</v>
      </c>
      <c r="D296" s="153" t="s">
        <v>180</v>
      </c>
      <c r="E296" s="206" t="s">
        <v>93</v>
      </c>
      <c r="F296" s="207"/>
      <c r="G296" s="78">
        <f aca="true" t="shared" si="46" ref="G296:H298">G297</f>
        <v>439.451</v>
      </c>
      <c r="H296" s="78">
        <f t="shared" si="46"/>
        <v>190</v>
      </c>
      <c r="I296" s="78">
        <f>I297</f>
        <v>249.45100000000002</v>
      </c>
    </row>
    <row r="297" spans="1:9" ht="15.75" customHeight="1">
      <c r="A297" s="146" t="s">
        <v>128</v>
      </c>
      <c r="B297" s="149"/>
      <c r="C297" s="152" t="s">
        <v>152</v>
      </c>
      <c r="D297" s="152" t="s">
        <v>180</v>
      </c>
      <c r="E297" s="210" t="s">
        <v>94</v>
      </c>
      <c r="F297" s="208"/>
      <c r="G297" s="74">
        <f t="shared" si="46"/>
        <v>439.451</v>
      </c>
      <c r="H297" s="74">
        <f t="shared" si="46"/>
        <v>190</v>
      </c>
      <c r="I297" s="74">
        <f>I298</f>
        <v>249.45100000000002</v>
      </c>
    </row>
    <row r="298" spans="1:9" ht="15.75">
      <c r="A298" s="147" t="s">
        <v>220</v>
      </c>
      <c r="B298" s="149"/>
      <c r="C298" s="152" t="s">
        <v>152</v>
      </c>
      <c r="D298" s="152" t="s">
        <v>180</v>
      </c>
      <c r="E298" s="210" t="s">
        <v>94</v>
      </c>
      <c r="F298" s="208" t="s">
        <v>206</v>
      </c>
      <c r="G298" s="74">
        <f t="shared" si="46"/>
        <v>439.451</v>
      </c>
      <c r="H298" s="74">
        <f t="shared" si="46"/>
        <v>190</v>
      </c>
      <c r="I298" s="74">
        <f>I299</f>
        <v>249.45100000000002</v>
      </c>
    </row>
    <row r="299" spans="1:9" ht="15.75">
      <c r="A299" s="148" t="s">
        <v>221</v>
      </c>
      <c r="B299" s="149"/>
      <c r="C299" s="152" t="s">
        <v>152</v>
      </c>
      <c r="D299" s="152" t="s">
        <v>180</v>
      </c>
      <c r="E299" s="210" t="s">
        <v>94</v>
      </c>
      <c r="F299" s="208" t="s">
        <v>222</v>
      </c>
      <c r="G299" s="74">
        <f>198.451+241</f>
        <v>439.451</v>
      </c>
      <c r="H299" s="74">
        <v>190</v>
      </c>
      <c r="I299" s="74">
        <f>G299-H299</f>
        <v>249.45100000000002</v>
      </c>
    </row>
    <row r="300" spans="1:10" ht="15.75">
      <c r="A300" s="145" t="s">
        <v>193</v>
      </c>
      <c r="B300" s="152"/>
      <c r="C300" s="153" t="s">
        <v>152</v>
      </c>
      <c r="D300" s="153" t="s">
        <v>197</v>
      </c>
      <c r="E300" s="210"/>
      <c r="F300" s="208"/>
      <c r="G300" s="78">
        <f>G301+G384+G392</f>
        <v>584182.5020000001</v>
      </c>
      <c r="H300" s="78">
        <f>H301+H384+H392</f>
        <v>582134.8</v>
      </c>
      <c r="I300" s="78">
        <f>I301+I384+I392</f>
        <v>2047.7020000000027</v>
      </c>
      <c r="J300" s="15">
        <v>0.1</v>
      </c>
    </row>
    <row r="301" spans="1:9" ht="15.75">
      <c r="A301" s="145" t="s">
        <v>434</v>
      </c>
      <c r="B301" s="153"/>
      <c r="C301" s="153" t="s">
        <v>152</v>
      </c>
      <c r="D301" s="153" t="s">
        <v>197</v>
      </c>
      <c r="E301" s="206" t="s">
        <v>13</v>
      </c>
      <c r="F301" s="207"/>
      <c r="G301" s="78">
        <f>G302</f>
        <v>580823.7020000002</v>
      </c>
      <c r="H301" s="78">
        <f>H302</f>
        <v>578765.7000000001</v>
      </c>
      <c r="I301" s="78">
        <f>I302</f>
        <v>2058.0020000000027</v>
      </c>
    </row>
    <row r="302" spans="1:9" ht="15.75">
      <c r="A302" s="145" t="s">
        <v>441</v>
      </c>
      <c r="B302" s="153"/>
      <c r="C302" s="153" t="s">
        <v>152</v>
      </c>
      <c r="D302" s="153" t="s">
        <v>197</v>
      </c>
      <c r="E302" s="206" t="s">
        <v>31</v>
      </c>
      <c r="F302" s="207"/>
      <c r="G302" s="78">
        <f>G303+G306+G309+G315+G318+G321+G327+G330+G339+G342+G351+G354+G357+G369+G372+G333+G375+G348+G360+G363+G378+G381+G312+G336+G366+G345</f>
        <v>580823.7020000002</v>
      </c>
      <c r="H302" s="78">
        <f>H303+H306+H309+H315+H318+H321+H327+H330+H339+H342+H351+H354+H357+H369+H372+H333+H375+H348+H360+H363+H378+H381+H312+H336+H366+H345</f>
        <v>578765.7000000001</v>
      </c>
      <c r="I302" s="78">
        <f>I303+I306+I309+I315+I318+I321+I327+I330+I339+I342+I351+I354+I357+I369+I372+I333+I375+I348+I360+I363+I378+I381+I312+I336+I366+I345</f>
        <v>2058.0020000000027</v>
      </c>
    </row>
    <row r="303" spans="1:9" ht="15.75">
      <c r="A303" s="146" t="s">
        <v>125</v>
      </c>
      <c r="B303" s="123"/>
      <c r="C303" s="152" t="s">
        <v>152</v>
      </c>
      <c r="D303" s="152" t="s">
        <v>197</v>
      </c>
      <c r="E303" s="210" t="s">
        <v>32</v>
      </c>
      <c r="F303" s="208"/>
      <c r="G303" s="99">
        <f aca="true" t="shared" si="47" ref="G303:I304">G304</f>
        <v>102825.988</v>
      </c>
      <c r="H303" s="99">
        <f t="shared" si="47"/>
        <v>100570.9</v>
      </c>
      <c r="I303" s="99">
        <f t="shared" si="47"/>
        <v>2255.0880000000034</v>
      </c>
    </row>
    <row r="304" spans="1:9" ht="15.75">
      <c r="A304" s="147" t="s">
        <v>220</v>
      </c>
      <c r="B304" s="123"/>
      <c r="C304" s="152" t="s">
        <v>152</v>
      </c>
      <c r="D304" s="152" t="s">
        <v>197</v>
      </c>
      <c r="E304" s="210" t="s">
        <v>32</v>
      </c>
      <c r="F304" s="208" t="s">
        <v>206</v>
      </c>
      <c r="G304" s="74">
        <f t="shared" si="47"/>
        <v>102825.988</v>
      </c>
      <c r="H304" s="74">
        <f t="shared" si="47"/>
        <v>100570.9</v>
      </c>
      <c r="I304" s="74">
        <f t="shared" si="47"/>
        <v>2255.0880000000034</v>
      </c>
    </row>
    <row r="305" spans="1:9" ht="15.75">
      <c r="A305" s="148" t="s">
        <v>221</v>
      </c>
      <c r="B305" s="123"/>
      <c r="C305" s="152" t="s">
        <v>152</v>
      </c>
      <c r="D305" s="152" t="s">
        <v>197</v>
      </c>
      <c r="E305" s="210" t="s">
        <v>32</v>
      </c>
      <c r="F305" s="208" t="s">
        <v>222</v>
      </c>
      <c r="G305" s="74">
        <v>102825.988</v>
      </c>
      <c r="H305" s="74">
        <f>101070.9-500</f>
        <v>100570.9</v>
      </c>
      <c r="I305" s="74">
        <f>G305-H305</f>
        <v>2255.0880000000034</v>
      </c>
    </row>
    <row r="306" spans="1:9" ht="18.75" customHeight="1">
      <c r="A306" s="130" t="s">
        <v>253</v>
      </c>
      <c r="B306" s="123"/>
      <c r="C306" s="152" t="s">
        <v>152</v>
      </c>
      <c r="D306" s="152" t="s">
        <v>197</v>
      </c>
      <c r="E306" s="210" t="s">
        <v>259</v>
      </c>
      <c r="F306" s="208"/>
      <c r="G306" s="74">
        <f aca="true" t="shared" si="48" ref="G306:I307">G307</f>
        <v>908.9</v>
      </c>
      <c r="H306" s="74">
        <f t="shared" si="48"/>
        <v>949.1</v>
      </c>
      <c r="I306" s="74">
        <f t="shared" si="48"/>
        <v>-40.200000000000045</v>
      </c>
    </row>
    <row r="307" spans="1:9" ht="15.75">
      <c r="A307" s="147" t="s">
        <v>220</v>
      </c>
      <c r="B307" s="123"/>
      <c r="C307" s="152" t="s">
        <v>152</v>
      </c>
      <c r="D307" s="152" t="s">
        <v>197</v>
      </c>
      <c r="E307" s="210" t="s">
        <v>259</v>
      </c>
      <c r="F307" s="208" t="s">
        <v>206</v>
      </c>
      <c r="G307" s="74">
        <f t="shared" si="48"/>
        <v>908.9</v>
      </c>
      <c r="H307" s="74">
        <f t="shared" si="48"/>
        <v>949.1</v>
      </c>
      <c r="I307" s="74">
        <f t="shared" si="48"/>
        <v>-40.200000000000045</v>
      </c>
    </row>
    <row r="308" spans="1:9" s="36" customFormat="1" ht="15.75">
      <c r="A308" s="148" t="s">
        <v>221</v>
      </c>
      <c r="B308" s="123"/>
      <c r="C308" s="152" t="s">
        <v>152</v>
      </c>
      <c r="D308" s="152" t="s">
        <v>197</v>
      </c>
      <c r="E308" s="210" t="s">
        <v>259</v>
      </c>
      <c r="F308" s="208" t="s">
        <v>222</v>
      </c>
      <c r="G308" s="74">
        <v>908.9</v>
      </c>
      <c r="H308" s="74">
        <v>949.1</v>
      </c>
      <c r="I308" s="74">
        <f>G308-H308</f>
        <v>-40.200000000000045</v>
      </c>
    </row>
    <row r="309" spans="1:9" s="36" customFormat="1" ht="15.75">
      <c r="A309" s="130" t="s">
        <v>564</v>
      </c>
      <c r="B309" s="123"/>
      <c r="C309" s="152" t="s">
        <v>152</v>
      </c>
      <c r="D309" s="152" t="s">
        <v>197</v>
      </c>
      <c r="E309" s="208" t="s">
        <v>566</v>
      </c>
      <c r="F309" s="208"/>
      <c r="G309" s="74">
        <f aca="true" t="shared" si="49" ref="G309:H313">G310</f>
        <v>3198.497</v>
      </c>
      <c r="H309" s="74">
        <f t="shared" si="49"/>
        <v>3198.5</v>
      </c>
      <c r="I309" s="74">
        <f>I310</f>
        <v>-0.003000000000156433</v>
      </c>
    </row>
    <row r="310" spans="1:9" s="36" customFormat="1" ht="15.75">
      <c r="A310" s="147" t="s">
        <v>220</v>
      </c>
      <c r="B310" s="123"/>
      <c r="C310" s="152" t="s">
        <v>152</v>
      </c>
      <c r="D310" s="152" t="s">
        <v>197</v>
      </c>
      <c r="E310" s="208" t="s">
        <v>566</v>
      </c>
      <c r="F310" s="208" t="s">
        <v>206</v>
      </c>
      <c r="G310" s="74">
        <f t="shared" si="49"/>
        <v>3198.497</v>
      </c>
      <c r="H310" s="74">
        <f t="shared" si="49"/>
        <v>3198.5</v>
      </c>
      <c r="I310" s="74">
        <f>I311</f>
        <v>-0.003000000000156433</v>
      </c>
    </row>
    <row r="311" spans="1:9" s="36" customFormat="1" ht="15.75">
      <c r="A311" s="148" t="s">
        <v>221</v>
      </c>
      <c r="B311" s="123"/>
      <c r="C311" s="152" t="s">
        <v>152</v>
      </c>
      <c r="D311" s="152" t="s">
        <v>197</v>
      </c>
      <c r="E311" s="208" t="s">
        <v>566</v>
      </c>
      <c r="F311" s="208" t="s">
        <v>222</v>
      </c>
      <c r="G311" s="74">
        <v>3198.497</v>
      </c>
      <c r="H311" s="74">
        <v>3198.5</v>
      </c>
      <c r="I311" s="74">
        <f>G311-H311</f>
        <v>-0.003000000000156433</v>
      </c>
    </row>
    <row r="312" spans="1:9" s="36" customFormat="1" ht="15.75">
      <c r="A312" s="130" t="s">
        <v>8</v>
      </c>
      <c r="B312" s="123"/>
      <c r="C312" s="152" t="s">
        <v>152</v>
      </c>
      <c r="D312" s="152" t="s">
        <v>197</v>
      </c>
      <c r="E312" s="208" t="s">
        <v>648</v>
      </c>
      <c r="F312" s="208"/>
      <c r="G312" s="74">
        <f t="shared" si="49"/>
        <v>2344.959</v>
      </c>
      <c r="H312" s="74">
        <f t="shared" si="49"/>
        <v>2345</v>
      </c>
      <c r="I312" s="74">
        <f>I313</f>
        <v>-0.04100000000016735</v>
      </c>
    </row>
    <row r="313" spans="1:9" s="36" customFormat="1" ht="15.75">
      <c r="A313" s="147" t="s">
        <v>220</v>
      </c>
      <c r="B313" s="123"/>
      <c r="C313" s="152" t="s">
        <v>152</v>
      </c>
      <c r="D313" s="152" t="s">
        <v>197</v>
      </c>
      <c r="E313" s="208" t="s">
        <v>648</v>
      </c>
      <c r="F313" s="208" t="s">
        <v>206</v>
      </c>
      <c r="G313" s="74">
        <f t="shared" si="49"/>
        <v>2344.959</v>
      </c>
      <c r="H313" s="74">
        <f t="shared" si="49"/>
        <v>2345</v>
      </c>
      <c r="I313" s="74">
        <f>I314</f>
        <v>-0.04100000000016735</v>
      </c>
    </row>
    <row r="314" spans="1:9" s="36" customFormat="1" ht="15.75">
      <c r="A314" s="148" t="s">
        <v>221</v>
      </c>
      <c r="B314" s="123"/>
      <c r="C314" s="152" t="s">
        <v>152</v>
      </c>
      <c r="D314" s="152" t="s">
        <v>197</v>
      </c>
      <c r="E314" s="208" t="s">
        <v>648</v>
      </c>
      <c r="F314" s="208" t="s">
        <v>222</v>
      </c>
      <c r="G314" s="74">
        <v>2344.959</v>
      </c>
      <c r="H314" s="74">
        <v>2345</v>
      </c>
      <c r="I314" s="74">
        <f>G314-H314</f>
        <v>-0.04100000000016735</v>
      </c>
    </row>
    <row r="315" spans="1:9" s="36" customFormat="1" ht="15.75">
      <c r="A315" s="130" t="s">
        <v>432</v>
      </c>
      <c r="B315" s="149"/>
      <c r="C315" s="152" t="s">
        <v>152</v>
      </c>
      <c r="D315" s="152" t="s">
        <v>197</v>
      </c>
      <c r="E315" s="210" t="s">
        <v>369</v>
      </c>
      <c r="F315" s="208"/>
      <c r="G315" s="74">
        <f aca="true" t="shared" si="50" ref="G315:I316">G316</f>
        <v>4954.971</v>
      </c>
      <c r="H315" s="74">
        <f t="shared" si="50"/>
        <v>4955</v>
      </c>
      <c r="I315" s="74">
        <f t="shared" si="50"/>
        <v>-0.02900000000045111</v>
      </c>
    </row>
    <row r="316" spans="1:9" s="36" customFormat="1" ht="15.75">
      <c r="A316" s="147" t="s">
        <v>220</v>
      </c>
      <c r="B316" s="149"/>
      <c r="C316" s="152" t="s">
        <v>152</v>
      </c>
      <c r="D316" s="152" t="s">
        <v>197</v>
      </c>
      <c r="E316" s="210" t="s">
        <v>369</v>
      </c>
      <c r="F316" s="208" t="s">
        <v>206</v>
      </c>
      <c r="G316" s="74">
        <f t="shared" si="50"/>
        <v>4954.971</v>
      </c>
      <c r="H316" s="74">
        <f t="shared" si="50"/>
        <v>4955</v>
      </c>
      <c r="I316" s="74">
        <f t="shared" si="50"/>
        <v>-0.02900000000045111</v>
      </c>
    </row>
    <row r="317" spans="1:9" s="36" customFormat="1" ht="15.75">
      <c r="A317" s="148" t="s">
        <v>221</v>
      </c>
      <c r="B317" s="149"/>
      <c r="C317" s="152" t="s">
        <v>152</v>
      </c>
      <c r="D317" s="152" t="s">
        <v>197</v>
      </c>
      <c r="E317" s="210" t="s">
        <v>369</v>
      </c>
      <c r="F317" s="208" t="s">
        <v>222</v>
      </c>
      <c r="G317" s="74">
        <v>4954.971</v>
      </c>
      <c r="H317" s="74">
        <v>4955</v>
      </c>
      <c r="I317" s="74">
        <f>G317-H317</f>
        <v>-0.02900000000045111</v>
      </c>
    </row>
    <row r="318" spans="1:9" s="36" customFormat="1" ht="15.75">
      <c r="A318" s="130" t="s">
        <v>323</v>
      </c>
      <c r="B318" s="149"/>
      <c r="C318" s="152" t="s">
        <v>152</v>
      </c>
      <c r="D318" s="152" t="s">
        <v>197</v>
      </c>
      <c r="E318" s="210" t="s">
        <v>33</v>
      </c>
      <c r="F318" s="208"/>
      <c r="G318" s="74">
        <f aca="true" t="shared" si="51" ref="G318:I319">G319</f>
        <v>1038.1</v>
      </c>
      <c r="H318" s="74">
        <f t="shared" si="51"/>
        <v>1038.1</v>
      </c>
      <c r="I318" s="74">
        <f t="shared" si="51"/>
        <v>0</v>
      </c>
    </row>
    <row r="319" spans="1:9" s="36" customFormat="1" ht="15.75">
      <c r="A319" s="147" t="s">
        <v>220</v>
      </c>
      <c r="B319" s="149"/>
      <c r="C319" s="152" t="s">
        <v>152</v>
      </c>
      <c r="D319" s="152" t="s">
        <v>197</v>
      </c>
      <c r="E319" s="210" t="s">
        <v>33</v>
      </c>
      <c r="F319" s="208" t="s">
        <v>206</v>
      </c>
      <c r="G319" s="74">
        <f t="shared" si="51"/>
        <v>1038.1</v>
      </c>
      <c r="H319" s="74">
        <f t="shared" si="51"/>
        <v>1038.1</v>
      </c>
      <c r="I319" s="74">
        <f t="shared" si="51"/>
        <v>0</v>
      </c>
    </row>
    <row r="320" spans="1:9" s="36" customFormat="1" ht="15.75">
      <c r="A320" s="148" t="s">
        <v>221</v>
      </c>
      <c r="B320" s="149"/>
      <c r="C320" s="152" t="s">
        <v>152</v>
      </c>
      <c r="D320" s="152" t="s">
        <v>197</v>
      </c>
      <c r="E320" s="210" t="s">
        <v>33</v>
      </c>
      <c r="F320" s="208" t="s">
        <v>222</v>
      </c>
      <c r="G320" s="74">
        <v>1038.1</v>
      </c>
      <c r="H320" s="74">
        <v>1038.1</v>
      </c>
      <c r="I320" s="74">
        <f>G320-H320</f>
        <v>0</v>
      </c>
    </row>
    <row r="321" spans="1:9" s="36" customFormat="1" ht="15.75">
      <c r="A321" s="130" t="s">
        <v>324</v>
      </c>
      <c r="B321" s="149"/>
      <c r="C321" s="152" t="s">
        <v>152</v>
      </c>
      <c r="D321" s="152" t="s">
        <v>197</v>
      </c>
      <c r="E321" s="210" t="s">
        <v>34</v>
      </c>
      <c r="F321" s="208"/>
      <c r="G321" s="74">
        <f>G325+G322</f>
        <v>158.787</v>
      </c>
      <c r="H321" s="74">
        <f>H325+H322</f>
        <v>315.6</v>
      </c>
      <c r="I321" s="74">
        <f>I325+I322</f>
        <v>-156.81300000000002</v>
      </c>
    </row>
    <row r="322" spans="1:9" s="36" customFormat="1" ht="15.75">
      <c r="A322" s="154" t="s">
        <v>102</v>
      </c>
      <c r="B322" s="149"/>
      <c r="C322" s="152" t="s">
        <v>152</v>
      </c>
      <c r="D322" s="152" t="s">
        <v>197</v>
      </c>
      <c r="E322" s="210" t="s">
        <v>34</v>
      </c>
      <c r="F322" s="208" t="s">
        <v>98</v>
      </c>
      <c r="G322" s="74">
        <f>G323+G324</f>
        <v>4.986999999999995</v>
      </c>
      <c r="H322" s="74">
        <f>H323+H324</f>
        <v>161.8</v>
      </c>
      <c r="I322" s="74">
        <f>I323+I324</f>
        <v>-156.81300000000002</v>
      </c>
    </row>
    <row r="323" spans="1:9" s="36" customFormat="1" ht="15.75">
      <c r="A323" s="151" t="s">
        <v>97</v>
      </c>
      <c r="B323" s="149"/>
      <c r="C323" s="152" t="s">
        <v>152</v>
      </c>
      <c r="D323" s="152" t="s">
        <v>197</v>
      </c>
      <c r="E323" s="210" t="s">
        <v>34</v>
      </c>
      <c r="F323" s="208" t="s">
        <v>99</v>
      </c>
      <c r="G323" s="74">
        <f>89.387-89.4</f>
        <v>-0.01300000000000523</v>
      </c>
      <c r="H323" s="74">
        <v>72.4</v>
      </c>
      <c r="I323" s="74">
        <f>G323-H323</f>
        <v>-72.41300000000001</v>
      </c>
    </row>
    <row r="324" spans="1:9" s="36" customFormat="1" ht="15.75">
      <c r="A324" s="155" t="s">
        <v>275</v>
      </c>
      <c r="B324" s="149"/>
      <c r="C324" s="152" t="s">
        <v>152</v>
      </c>
      <c r="D324" s="152" t="s">
        <v>197</v>
      </c>
      <c r="E324" s="210" t="s">
        <v>34</v>
      </c>
      <c r="F324" s="208" t="s">
        <v>274</v>
      </c>
      <c r="G324" s="74">
        <f>72.4-67.4</f>
        <v>5</v>
      </c>
      <c r="H324" s="74">
        <v>89.4</v>
      </c>
      <c r="I324" s="74">
        <f>G324-H324</f>
        <v>-84.4</v>
      </c>
    </row>
    <row r="325" spans="1:9" s="36" customFormat="1" ht="15.75">
      <c r="A325" s="147" t="s">
        <v>220</v>
      </c>
      <c r="B325" s="149"/>
      <c r="C325" s="152" t="s">
        <v>152</v>
      </c>
      <c r="D325" s="152" t="s">
        <v>197</v>
      </c>
      <c r="E325" s="210" t="s">
        <v>34</v>
      </c>
      <c r="F325" s="208" t="s">
        <v>206</v>
      </c>
      <c r="G325" s="74">
        <f>G326</f>
        <v>153.8</v>
      </c>
      <c r="H325" s="74">
        <f>H326</f>
        <v>153.8</v>
      </c>
      <c r="I325" s="74">
        <f>I326</f>
        <v>0</v>
      </c>
    </row>
    <row r="326" spans="1:9" s="36" customFormat="1" ht="15.75">
      <c r="A326" s="148" t="s">
        <v>221</v>
      </c>
      <c r="B326" s="149"/>
      <c r="C326" s="152" t="s">
        <v>152</v>
      </c>
      <c r="D326" s="152" t="s">
        <v>197</v>
      </c>
      <c r="E326" s="210" t="s">
        <v>34</v>
      </c>
      <c r="F326" s="208" t="s">
        <v>222</v>
      </c>
      <c r="G326" s="74">
        <v>153.8</v>
      </c>
      <c r="H326" s="74">
        <v>153.8</v>
      </c>
      <c r="I326" s="74">
        <f>G326-H326</f>
        <v>0</v>
      </c>
    </row>
    <row r="327" spans="1:9" s="36" customFormat="1" ht="15.75">
      <c r="A327" s="130" t="s">
        <v>325</v>
      </c>
      <c r="B327" s="149"/>
      <c r="C327" s="152" t="s">
        <v>152</v>
      </c>
      <c r="D327" s="152" t="s">
        <v>197</v>
      </c>
      <c r="E327" s="210" t="s">
        <v>35</v>
      </c>
      <c r="F327" s="208"/>
      <c r="G327" s="74">
        <f aca="true" t="shared" si="52" ref="G327:I328">G328</f>
        <v>4168.1</v>
      </c>
      <c r="H327" s="74">
        <f t="shared" si="52"/>
        <v>4168.1</v>
      </c>
      <c r="I327" s="74">
        <f t="shared" si="52"/>
        <v>0</v>
      </c>
    </row>
    <row r="328" spans="1:9" s="36" customFormat="1" ht="15.75">
      <c r="A328" s="147" t="s">
        <v>220</v>
      </c>
      <c r="B328" s="149"/>
      <c r="C328" s="152" t="s">
        <v>152</v>
      </c>
      <c r="D328" s="152" t="s">
        <v>197</v>
      </c>
      <c r="E328" s="210" t="s">
        <v>35</v>
      </c>
      <c r="F328" s="208" t="s">
        <v>206</v>
      </c>
      <c r="G328" s="74">
        <f t="shared" si="52"/>
        <v>4168.1</v>
      </c>
      <c r="H328" s="74">
        <f t="shared" si="52"/>
        <v>4168.1</v>
      </c>
      <c r="I328" s="74">
        <f t="shared" si="52"/>
        <v>0</v>
      </c>
    </row>
    <row r="329" spans="1:9" s="36" customFormat="1" ht="15.75">
      <c r="A329" s="148" t="s">
        <v>221</v>
      </c>
      <c r="B329" s="149"/>
      <c r="C329" s="152" t="s">
        <v>152</v>
      </c>
      <c r="D329" s="152" t="s">
        <v>197</v>
      </c>
      <c r="E329" s="210" t="s">
        <v>35</v>
      </c>
      <c r="F329" s="208" t="s">
        <v>222</v>
      </c>
      <c r="G329" s="74">
        <f>3781.3-13.2+400</f>
        <v>4168.1</v>
      </c>
      <c r="H329" s="74">
        <f>3781.3-13.2+400</f>
        <v>4168.1</v>
      </c>
      <c r="I329" s="74">
        <f>G329-H329</f>
        <v>0</v>
      </c>
    </row>
    <row r="330" spans="1:9" s="36" customFormat="1" ht="15.75">
      <c r="A330" s="151" t="s">
        <v>430</v>
      </c>
      <c r="B330" s="149"/>
      <c r="C330" s="152" t="s">
        <v>152</v>
      </c>
      <c r="D330" s="152" t="s">
        <v>197</v>
      </c>
      <c r="E330" s="210" t="s">
        <v>575</v>
      </c>
      <c r="F330" s="208"/>
      <c r="G330" s="74">
        <f aca="true" t="shared" si="53" ref="G330:I331">G331</f>
        <v>37</v>
      </c>
      <c r="H330" s="74">
        <f t="shared" si="53"/>
        <v>37</v>
      </c>
      <c r="I330" s="74">
        <f t="shared" si="53"/>
        <v>0</v>
      </c>
    </row>
    <row r="331" spans="1:9" s="36" customFormat="1" ht="15.75">
      <c r="A331" s="147" t="s">
        <v>220</v>
      </c>
      <c r="B331" s="149"/>
      <c r="C331" s="152" t="s">
        <v>152</v>
      </c>
      <c r="D331" s="152" t="s">
        <v>197</v>
      </c>
      <c r="E331" s="210" t="s">
        <v>575</v>
      </c>
      <c r="F331" s="208" t="s">
        <v>206</v>
      </c>
      <c r="G331" s="74">
        <f t="shared" si="53"/>
        <v>37</v>
      </c>
      <c r="H331" s="74">
        <f t="shared" si="53"/>
        <v>37</v>
      </c>
      <c r="I331" s="74">
        <f t="shared" si="53"/>
        <v>0</v>
      </c>
    </row>
    <row r="332" spans="1:9" s="36" customFormat="1" ht="15.75">
      <c r="A332" s="151" t="s">
        <v>221</v>
      </c>
      <c r="B332" s="149"/>
      <c r="C332" s="152" t="s">
        <v>152</v>
      </c>
      <c r="D332" s="152" t="s">
        <v>197</v>
      </c>
      <c r="E332" s="210" t="s">
        <v>575</v>
      </c>
      <c r="F332" s="208" t="s">
        <v>222</v>
      </c>
      <c r="G332" s="74">
        <v>37</v>
      </c>
      <c r="H332" s="74">
        <v>37</v>
      </c>
      <c r="I332" s="74">
        <f>G332-H332</f>
        <v>0</v>
      </c>
    </row>
    <row r="333" spans="1:9" ht="25.5">
      <c r="A333" s="144" t="s">
        <v>519</v>
      </c>
      <c r="B333" s="149"/>
      <c r="C333" s="152" t="s">
        <v>152</v>
      </c>
      <c r="D333" s="152" t="s">
        <v>197</v>
      </c>
      <c r="E333" s="208" t="s">
        <v>520</v>
      </c>
      <c r="F333" s="208"/>
      <c r="G333" s="74">
        <f aca="true" t="shared" si="54" ref="G333:I334">G334</f>
        <v>22583.3</v>
      </c>
      <c r="H333" s="74">
        <f t="shared" si="54"/>
        <v>22583.3</v>
      </c>
      <c r="I333" s="74">
        <f t="shared" si="54"/>
        <v>0</v>
      </c>
    </row>
    <row r="334" spans="1:9" ht="15.75">
      <c r="A334" s="147" t="s">
        <v>220</v>
      </c>
      <c r="B334" s="149"/>
      <c r="C334" s="152" t="s">
        <v>152</v>
      </c>
      <c r="D334" s="152" t="s">
        <v>197</v>
      </c>
      <c r="E334" s="208" t="s">
        <v>520</v>
      </c>
      <c r="F334" s="208" t="s">
        <v>206</v>
      </c>
      <c r="G334" s="74">
        <f t="shared" si="54"/>
        <v>22583.3</v>
      </c>
      <c r="H334" s="74">
        <f t="shared" si="54"/>
        <v>22583.3</v>
      </c>
      <c r="I334" s="74">
        <f t="shared" si="54"/>
        <v>0</v>
      </c>
    </row>
    <row r="335" spans="1:9" ht="15.75">
      <c r="A335" s="148" t="s">
        <v>221</v>
      </c>
      <c r="B335" s="149"/>
      <c r="C335" s="152" t="s">
        <v>152</v>
      </c>
      <c r="D335" s="152" t="s">
        <v>197</v>
      </c>
      <c r="E335" s="208" t="s">
        <v>520</v>
      </c>
      <c r="F335" s="208" t="s">
        <v>222</v>
      </c>
      <c r="G335" s="74">
        <v>22583.3</v>
      </c>
      <c r="H335" s="74">
        <v>22583.3</v>
      </c>
      <c r="I335" s="74">
        <f>G335-H335</f>
        <v>0</v>
      </c>
    </row>
    <row r="336" spans="1:9" ht="15.75">
      <c r="A336" s="150" t="s">
        <v>671</v>
      </c>
      <c r="B336" s="158"/>
      <c r="C336" s="152" t="s">
        <v>152</v>
      </c>
      <c r="D336" s="152" t="s">
        <v>197</v>
      </c>
      <c r="E336" s="210" t="s">
        <v>670</v>
      </c>
      <c r="F336" s="208"/>
      <c r="G336" s="74">
        <f aca="true" t="shared" si="55" ref="G336:I337">G337</f>
        <v>484</v>
      </c>
      <c r="H336" s="74">
        <f t="shared" si="55"/>
        <v>484</v>
      </c>
      <c r="I336" s="74">
        <f t="shared" si="55"/>
        <v>0</v>
      </c>
    </row>
    <row r="337" spans="1:9" ht="15.75">
      <c r="A337" s="147" t="s">
        <v>220</v>
      </c>
      <c r="B337" s="158"/>
      <c r="C337" s="152" t="s">
        <v>152</v>
      </c>
      <c r="D337" s="152" t="s">
        <v>197</v>
      </c>
      <c r="E337" s="210" t="s">
        <v>670</v>
      </c>
      <c r="F337" s="208" t="s">
        <v>206</v>
      </c>
      <c r="G337" s="74">
        <f t="shared" si="55"/>
        <v>484</v>
      </c>
      <c r="H337" s="74">
        <f t="shared" si="55"/>
        <v>484</v>
      </c>
      <c r="I337" s="74">
        <f t="shared" si="55"/>
        <v>0</v>
      </c>
    </row>
    <row r="338" spans="1:9" ht="15.75">
      <c r="A338" s="148" t="s">
        <v>221</v>
      </c>
      <c r="B338" s="158"/>
      <c r="C338" s="152" t="s">
        <v>152</v>
      </c>
      <c r="D338" s="152" t="s">
        <v>197</v>
      </c>
      <c r="E338" s="210" t="s">
        <v>670</v>
      </c>
      <c r="F338" s="208" t="s">
        <v>222</v>
      </c>
      <c r="G338" s="74">
        <v>484</v>
      </c>
      <c r="H338" s="74">
        <v>484</v>
      </c>
      <c r="I338" s="74">
        <f>G338-H338</f>
        <v>0</v>
      </c>
    </row>
    <row r="339" spans="1:9" ht="26.25">
      <c r="A339" s="150" t="s">
        <v>650</v>
      </c>
      <c r="B339" s="158"/>
      <c r="C339" s="152" t="s">
        <v>152</v>
      </c>
      <c r="D339" s="152" t="s">
        <v>197</v>
      </c>
      <c r="E339" s="210" t="s">
        <v>649</v>
      </c>
      <c r="F339" s="208"/>
      <c r="G339" s="74">
        <f aca="true" t="shared" si="56" ref="G339:I343">G340</f>
        <v>2276</v>
      </c>
      <c r="H339" s="74">
        <f t="shared" si="56"/>
        <v>2276</v>
      </c>
      <c r="I339" s="74">
        <f t="shared" si="56"/>
        <v>0</v>
      </c>
    </row>
    <row r="340" spans="1:9" ht="15.75">
      <c r="A340" s="147" t="s">
        <v>220</v>
      </c>
      <c r="B340" s="158"/>
      <c r="C340" s="152" t="s">
        <v>152</v>
      </c>
      <c r="D340" s="152" t="s">
        <v>197</v>
      </c>
      <c r="E340" s="210" t="s">
        <v>649</v>
      </c>
      <c r="F340" s="208" t="s">
        <v>206</v>
      </c>
      <c r="G340" s="74">
        <f t="shared" si="56"/>
        <v>2276</v>
      </c>
      <c r="H340" s="74">
        <f t="shared" si="56"/>
        <v>2276</v>
      </c>
      <c r="I340" s="74">
        <f t="shared" si="56"/>
        <v>0</v>
      </c>
    </row>
    <row r="341" spans="1:9" ht="15.75">
      <c r="A341" s="148" t="s">
        <v>221</v>
      </c>
      <c r="B341" s="158"/>
      <c r="C341" s="152" t="s">
        <v>152</v>
      </c>
      <c r="D341" s="152" t="s">
        <v>197</v>
      </c>
      <c r="E341" s="210" t="s">
        <v>649</v>
      </c>
      <c r="F341" s="208" t="s">
        <v>222</v>
      </c>
      <c r="G341" s="74">
        <v>2276</v>
      </c>
      <c r="H341" s="74">
        <v>2276</v>
      </c>
      <c r="I341" s="74">
        <f>G341-H341</f>
        <v>0</v>
      </c>
    </row>
    <row r="342" spans="1:9" ht="26.25">
      <c r="A342" s="150" t="s">
        <v>665</v>
      </c>
      <c r="B342" s="158"/>
      <c r="C342" s="152" t="s">
        <v>152</v>
      </c>
      <c r="D342" s="152" t="s">
        <v>197</v>
      </c>
      <c r="E342" s="208" t="s">
        <v>666</v>
      </c>
      <c r="F342" s="208"/>
      <c r="G342" s="99">
        <f>G343</f>
        <v>1094</v>
      </c>
      <c r="H342" s="99">
        <f>H343</f>
        <v>1094</v>
      </c>
      <c r="I342" s="74">
        <f t="shared" si="56"/>
        <v>0</v>
      </c>
    </row>
    <row r="343" spans="1:9" ht="15.75">
      <c r="A343" s="147" t="s">
        <v>220</v>
      </c>
      <c r="B343" s="158"/>
      <c r="C343" s="152" t="s">
        <v>152</v>
      </c>
      <c r="D343" s="152" t="s">
        <v>197</v>
      </c>
      <c r="E343" s="208" t="s">
        <v>666</v>
      </c>
      <c r="F343" s="208" t="s">
        <v>206</v>
      </c>
      <c r="G343" s="99">
        <f>G344</f>
        <v>1094</v>
      </c>
      <c r="H343" s="99">
        <f>H344</f>
        <v>1094</v>
      </c>
      <c r="I343" s="74">
        <f t="shared" si="56"/>
        <v>0</v>
      </c>
    </row>
    <row r="344" spans="1:9" ht="15.75">
      <c r="A344" s="151" t="s">
        <v>221</v>
      </c>
      <c r="B344" s="158"/>
      <c r="C344" s="152" t="s">
        <v>152</v>
      </c>
      <c r="D344" s="152" t="s">
        <v>197</v>
      </c>
      <c r="E344" s="208" t="s">
        <v>666</v>
      </c>
      <c r="F344" s="208" t="s">
        <v>222</v>
      </c>
      <c r="G344" s="99">
        <v>1094</v>
      </c>
      <c r="H344" s="99">
        <v>1094</v>
      </c>
      <c r="I344" s="74">
        <f>G344-H344</f>
        <v>0</v>
      </c>
    </row>
    <row r="345" spans="1:9" ht="15.75">
      <c r="A345" s="150" t="s">
        <v>680</v>
      </c>
      <c r="B345" s="158"/>
      <c r="C345" s="152" t="s">
        <v>152</v>
      </c>
      <c r="D345" s="152" t="s">
        <v>197</v>
      </c>
      <c r="E345" s="210" t="s">
        <v>685</v>
      </c>
      <c r="F345" s="208"/>
      <c r="G345" s="74">
        <f aca="true" t="shared" si="57" ref="G345:I346">G346</f>
        <v>6712.4</v>
      </c>
      <c r="H345" s="74">
        <f t="shared" si="57"/>
        <v>6712.4</v>
      </c>
      <c r="I345" s="74">
        <f t="shared" si="57"/>
        <v>0</v>
      </c>
    </row>
    <row r="346" spans="1:9" ht="15.75">
      <c r="A346" s="147" t="s">
        <v>220</v>
      </c>
      <c r="B346" s="158"/>
      <c r="C346" s="152" t="s">
        <v>152</v>
      </c>
      <c r="D346" s="152" t="s">
        <v>197</v>
      </c>
      <c r="E346" s="210" t="s">
        <v>685</v>
      </c>
      <c r="F346" s="208" t="s">
        <v>206</v>
      </c>
      <c r="G346" s="74">
        <f t="shared" si="57"/>
        <v>6712.4</v>
      </c>
      <c r="H346" s="74">
        <f t="shared" si="57"/>
        <v>6712.4</v>
      </c>
      <c r="I346" s="74">
        <f t="shared" si="57"/>
        <v>0</v>
      </c>
    </row>
    <row r="347" spans="1:9" ht="15.75">
      <c r="A347" s="148" t="s">
        <v>221</v>
      </c>
      <c r="B347" s="158"/>
      <c r="C347" s="152" t="s">
        <v>152</v>
      </c>
      <c r="D347" s="152" t="s">
        <v>197</v>
      </c>
      <c r="E347" s="210" t="s">
        <v>685</v>
      </c>
      <c r="F347" s="208" t="s">
        <v>222</v>
      </c>
      <c r="G347" s="74">
        <v>6712.4</v>
      </c>
      <c r="H347" s="74">
        <v>6712.4</v>
      </c>
      <c r="I347" s="74">
        <f>G347-H347</f>
        <v>0</v>
      </c>
    </row>
    <row r="348" spans="1:9" ht="15.75">
      <c r="A348" s="150" t="s">
        <v>619</v>
      </c>
      <c r="B348" s="156"/>
      <c r="C348" s="152" t="s">
        <v>152</v>
      </c>
      <c r="D348" s="152" t="s">
        <v>197</v>
      </c>
      <c r="E348" s="208" t="s">
        <v>618</v>
      </c>
      <c r="F348" s="208"/>
      <c r="G348" s="74">
        <f>G349</f>
        <v>8790.7</v>
      </c>
      <c r="H348" s="74">
        <f>H349</f>
        <v>8790.7</v>
      </c>
      <c r="I348" s="74">
        <f>G348-H348</f>
        <v>0</v>
      </c>
    </row>
    <row r="349" spans="1:9" ht="15.75">
      <c r="A349" s="147" t="s">
        <v>220</v>
      </c>
      <c r="B349" s="156"/>
      <c r="C349" s="152" t="s">
        <v>152</v>
      </c>
      <c r="D349" s="152" t="s">
        <v>197</v>
      </c>
      <c r="E349" s="208" t="s">
        <v>618</v>
      </c>
      <c r="F349" s="208" t="s">
        <v>206</v>
      </c>
      <c r="G349" s="74">
        <f>G350</f>
        <v>8790.7</v>
      </c>
      <c r="H349" s="74">
        <f>H350</f>
        <v>8790.7</v>
      </c>
      <c r="I349" s="74">
        <f>G349-H349</f>
        <v>0</v>
      </c>
    </row>
    <row r="350" spans="1:9" ht="15.75">
      <c r="A350" s="151" t="s">
        <v>221</v>
      </c>
      <c r="B350" s="156"/>
      <c r="C350" s="152" t="s">
        <v>152</v>
      </c>
      <c r="D350" s="152" t="s">
        <v>197</v>
      </c>
      <c r="E350" s="208" t="s">
        <v>618</v>
      </c>
      <c r="F350" s="208" t="s">
        <v>222</v>
      </c>
      <c r="G350" s="74">
        <v>8790.7</v>
      </c>
      <c r="H350" s="74">
        <v>8790.7</v>
      </c>
      <c r="I350" s="74">
        <f>G350-H350</f>
        <v>0</v>
      </c>
    </row>
    <row r="351" spans="1:9" s="36" customFormat="1" ht="39">
      <c r="A351" s="150" t="s">
        <v>295</v>
      </c>
      <c r="B351" s="156"/>
      <c r="C351" s="152" t="s">
        <v>152</v>
      </c>
      <c r="D351" s="152" t="s">
        <v>197</v>
      </c>
      <c r="E351" s="210" t="s">
        <v>290</v>
      </c>
      <c r="F351" s="208"/>
      <c r="G351" s="99">
        <f aca="true" t="shared" si="58" ref="G351:I352">G352</f>
        <v>5373.1</v>
      </c>
      <c r="H351" s="99">
        <f t="shared" si="58"/>
        <v>5373.1</v>
      </c>
      <c r="I351" s="99">
        <f t="shared" si="58"/>
        <v>0</v>
      </c>
    </row>
    <row r="352" spans="1:9" s="36" customFormat="1" ht="15.75">
      <c r="A352" s="147" t="s">
        <v>220</v>
      </c>
      <c r="B352" s="156"/>
      <c r="C352" s="152" t="s">
        <v>152</v>
      </c>
      <c r="D352" s="152" t="s">
        <v>197</v>
      </c>
      <c r="E352" s="210" t="s">
        <v>290</v>
      </c>
      <c r="F352" s="208" t="s">
        <v>206</v>
      </c>
      <c r="G352" s="99">
        <f t="shared" si="58"/>
        <v>5373.1</v>
      </c>
      <c r="H352" s="99">
        <f t="shared" si="58"/>
        <v>5373.1</v>
      </c>
      <c r="I352" s="99">
        <f t="shared" si="58"/>
        <v>0</v>
      </c>
    </row>
    <row r="353" spans="1:9" s="36" customFormat="1" ht="15.75">
      <c r="A353" s="148" t="s">
        <v>221</v>
      </c>
      <c r="B353" s="156"/>
      <c r="C353" s="152" t="s">
        <v>152</v>
      </c>
      <c r="D353" s="152" t="s">
        <v>197</v>
      </c>
      <c r="E353" s="210" t="s">
        <v>290</v>
      </c>
      <c r="F353" s="208" t="s">
        <v>222</v>
      </c>
      <c r="G353" s="99">
        <f>4087+1286.1</f>
        <v>5373.1</v>
      </c>
      <c r="H353" s="99">
        <f>4087+1286.1</f>
        <v>5373.1</v>
      </c>
      <c r="I353" s="74">
        <f>G353-H353</f>
        <v>0</v>
      </c>
    </row>
    <row r="354" spans="1:9" s="36" customFormat="1" ht="15.75">
      <c r="A354" s="130" t="s">
        <v>333</v>
      </c>
      <c r="B354" s="157"/>
      <c r="C354" s="152" t="s">
        <v>152</v>
      </c>
      <c r="D354" s="152" t="s">
        <v>197</v>
      </c>
      <c r="E354" s="210" t="s">
        <v>43</v>
      </c>
      <c r="F354" s="208"/>
      <c r="G354" s="99">
        <f aca="true" t="shared" si="59" ref="G354:I355">G355</f>
        <v>247743.40000000002</v>
      </c>
      <c r="H354" s="99">
        <f t="shared" si="59"/>
        <v>247743.40000000002</v>
      </c>
      <c r="I354" s="99">
        <f t="shared" si="59"/>
        <v>0</v>
      </c>
    </row>
    <row r="355" spans="1:9" s="36" customFormat="1" ht="15.75">
      <c r="A355" s="147" t="s">
        <v>220</v>
      </c>
      <c r="B355" s="158"/>
      <c r="C355" s="152" t="s">
        <v>152</v>
      </c>
      <c r="D355" s="152" t="s">
        <v>197</v>
      </c>
      <c r="E355" s="210" t="s">
        <v>43</v>
      </c>
      <c r="F355" s="208" t="s">
        <v>206</v>
      </c>
      <c r="G355" s="99">
        <f t="shared" si="59"/>
        <v>247743.40000000002</v>
      </c>
      <c r="H355" s="99">
        <f t="shared" si="59"/>
        <v>247743.40000000002</v>
      </c>
      <c r="I355" s="99">
        <f t="shared" si="59"/>
        <v>0</v>
      </c>
    </row>
    <row r="356" spans="1:9" s="32" customFormat="1" ht="15.75">
      <c r="A356" s="148" t="s">
        <v>221</v>
      </c>
      <c r="B356" s="158"/>
      <c r="C356" s="152" t="s">
        <v>152</v>
      </c>
      <c r="D356" s="152" t="s">
        <v>197</v>
      </c>
      <c r="E356" s="210" t="s">
        <v>43</v>
      </c>
      <c r="F356" s="208" t="s">
        <v>222</v>
      </c>
      <c r="G356" s="74">
        <f>236562.2+11181.2</f>
        <v>247743.40000000002</v>
      </c>
      <c r="H356" s="74">
        <f>236562.2+11181.2</f>
        <v>247743.40000000002</v>
      </c>
      <c r="I356" s="74">
        <f aca="true" t="shared" si="60" ref="I356:I362">G356-H356</f>
        <v>0</v>
      </c>
    </row>
    <row r="357" spans="1:9" s="32" customFormat="1" ht="15.75">
      <c r="A357" s="155" t="s">
        <v>647</v>
      </c>
      <c r="B357" s="158"/>
      <c r="C357" s="152" t="s">
        <v>152</v>
      </c>
      <c r="D357" s="152" t="s">
        <v>197</v>
      </c>
      <c r="E357" s="210" t="s">
        <v>646</v>
      </c>
      <c r="F357" s="208"/>
      <c r="G357" s="74">
        <f>G358</f>
        <v>5471.6</v>
      </c>
      <c r="H357" s="74">
        <f>H358</f>
        <v>5471.6</v>
      </c>
      <c r="I357" s="74">
        <f t="shared" si="60"/>
        <v>0</v>
      </c>
    </row>
    <row r="358" spans="1:9" s="32" customFormat="1" ht="15.75">
      <c r="A358" s="147" t="s">
        <v>220</v>
      </c>
      <c r="B358" s="158"/>
      <c r="C358" s="152" t="s">
        <v>152</v>
      </c>
      <c r="D358" s="152" t="s">
        <v>197</v>
      </c>
      <c r="E358" s="210" t="s">
        <v>646</v>
      </c>
      <c r="F358" s="208" t="s">
        <v>206</v>
      </c>
      <c r="G358" s="74">
        <f>G359</f>
        <v>5471.6</v>
      </c>
      <c r="H358" s="74">
        <f>H359</f>
        <v>5471.6</v>
      </c>
      <c r="I358" s="74">
        <f t="shared" si="60"/>
        <v>0</v>
      </c>
    </row>
    <row r="359" spans="1:9" s="32" customFormat="1" ht="15.75">
      <c r="A359" s="151" t="s">
        <v>221</v>
      </c>
      <c r="B359" s="158"/>
      <c r="C359" s="152" t="s">
        <v>152</v>
      </c>
      <c r="D359" s="152" t="s">
        <v>197</v>
      </c>
      <c r="E359" s="210" t="s">
        <v>646</v>
      </c>
      <c r="F359" s="208" t="s">
        <v>222</v>
      </c>
      <c r="G359" s="74">
        <v>5471.6</v>
      </c>
      <c r="H359" s="74">
        <v>5471.6</v>
      </c>
      <c r="I359" s="74">
        <f t="shared" si="60"/>
        <v>0</v>
      </c>
    </row>
    <row r="360" spans="1:9" s="32" customFormat="1" ht="15.75">
      <c r="A360" s="150" t="s">
        <v>620</v>
      </c>
      <c r="B360" s="158"/>
      <c r="C360" s="152" t="s">
        <v>152</v>
      </c>
      <c r="D360" s="152" t="s">
        <v>197</v>
      </c>
      <c r="E360" s="208" t="s">
        <v>621</v>
      </c>
      <c r="F360" s="208"/>
      <c r="G360" s="74">
        <f>G361</f>
        <v>132858.7</v>
      </c>
      <c r="H360" s="74">
        <f>H361</f>
        <v>132858.7</v>
      </c>
      <c r="I360" s="74">
        <f t="shared" si="60"/>
        <v>0</v>
      </c>
    </row>
    <row r="361" spans="1:9" s="32" customFormat="1" ht="15.75">
      <c r="A361" s="147" t="s">
        <v>220</v>
      </c>
      <c r="B361" s="158"/>
      <c r="C361" s="152" t="s">
        <v>152</v>
      </c>
      <c r="D361" s="152" t="s">
        <v>197</v>
      </c>
      <c r="E361" s="208" t="s">
        <v>621</v>
      </c>
      <c r="F361" s="208" t="s">
        <v>206</v>
      </c>
      <c r="G361" s="74">
        <f>G362</f>
        <v>132858.7</v>
      </c>
      <c r="H361" s="74">
        <f>H362</f>
        <v>132858.7</v>
      </c>
      <c r="I361" s="74">
        <f t="shared" si="60"/>
        <v>0</v>
      </c>
    </row>
    <row r="362" spans="1:9" s="32" customFormat="1" ht="15.75">
      <c r="A362" s="151" t="s">
        <v>221</v>
      </c>
      <c r="B362" s="158"/>
      <c r="C362" s="152" t="s">
        <v>152</v>
      </c>
      <c r="D362" s="152" t="s">
        <v>197</v>
      </c>
      <c r="E362" s="208" t="s">
        <v>621</v>
      </c>
      <c r="F362" s="208" t="s">
        <v>222</v>
      </c>
      <c r="G362" s="74">
        <f>118066.3+11094.3+3698.1</f>
        <v>132858.7</v>
      </c>
      <c r="H362" s="74">
        <f>118066.3+11094.3+3698.1</f>
        <v>132858.7</v>
      </c>
      <c r="I362" s="74">
        <f t="shared" si="60"/>
        <v>0</v>
      </c>
    </row>
    <row r="363" spans="1:9" s="32" customFormat="1" ht="15.75">
      <c r="A363" s="159" t="s">
        <v>632</v>
      </c>
      <c r="B363" s="152"/>
      <c r="C363" s="152" t="s">
        <v>152</v>
      </c>
      <c r="D363" s="152" t="s">
        <v>197</v>
      </c>
      <c r="E363" s="208" t="s">
        <v>631</v>
      </c>
      <c r="F363" s="208"/>
      <c r="G363" s="74">
        <f aca="true" t="shared" si="61" ref="G363:I364">G364</f>
        <v>21632.8</v>
      </c>
      <c r="H363" s="74">
        <f t="shared" si="61"/>
        <v>21632.8</v>
      </c>
      <c r="I363" s="74">
        <f t="shared" si="61"/>
        <v>0</v>
      </c>
    </row>
    <row r="364" spans="1:9" s="32" customFormat="1" ht="15.75">
      <c r="A364" s="151" t="s">
        <v>265</v>
      </c>
      <c r="B364" s="152"/>
      <c r="C364" s="152" t="s">
        <v>152</v>
      </c>
      <c r="D364" s="152" t="s">
        <v>197</v>
      </c>
      <c r="E364" s="208" t="s">
        <v>631</v>
      </c>
      <c r="F364" s="208" t="s">
        <v>229</v>
      </c>
      <c r="G364" s="74">
        <f t="shared" si="61"/>
        <v>21632.8</v>
      </c>
      <c r="H364" s="74">
        <f t="shared" si="61"/>
        <v>21632.8</v>
      </c>
      <c r="I364" s="74">
        <f t="shared" si="61"/>
        <v>0</v>
      </c>
    </row>
    <row r="365" spans="1:9" s="32" customFormat="1" ht="39">
      <c r="A365" s="151" t="s">
        <v>654</v>
      </c>
      <c r="B365" s="152"/>
      <c r="C365" s="152" t="s">
        <v>152</v>
      </c>
      <c r="D365" s="152" t="s">
        <v>197</v>
      </c>
      <c r="E365" s="208" t="s">
        <v>631</v>
      </c>
      <c r="F365" s="208" t="s">
        <v>653</v>
      </c>
      <c r="G365" s="74">
        <v>21632.8</v>
      </c>
      <c r="H365" s="74">
        <v>21632.8</v>
      </c>
      <c r="I365" s="74">
        <f>G365-H365</f>
        <v>0</v>
      </c>
    </row>
    <row r="366" spans="1:9" s="32" customFormat="1" ht="39">
      <c r="A366" s="151" t="s">
        <v>565</v>
      </c>
      <c r="B366" s="149"/>
      <c r="C366" s="152" t="s">
        <v>152</v>
      </c>
      <c r="D366" s="152" t="s">
        <v>197</v>
      </c>
      <c r="E366" s="210" t="s">
        <v>672</v>
      </c>
      <c r="F366" s="208"/>
      <c r="G366" s="74">
        <f aca="true" t="shared" si="62" ref="G366:I367">G367</f>
        <v>9.7</v>
      </c>
      <c r="H366" s="74">
        <f t="shared" si="62"/>
        <v>9.7</v>
      </c>
      <c r="I366" s="74">
        <f t="shared" si="62"/>
        <v>0</v>
      </c>
    </row>
    <row r="367" spans="1:9" s="32" customFormat="1" ht="15.75">
      <c r="A367" s="147" t="s">
        <v>220</v>
      </c>
      <c r="B367" s="149"/>
      <c r="C367" s="152" t="s">
        <v>152</v>
      </c>
      <c r="D367" s="152" t="s">
        <v>197</v>
      </c>
      <c r="E367" s="210" t="s">
        <v>672</v>
      </c>
      <c r="F367" s="208" t="s">
        <v>206</v>
      </c>
      <c r="G367" s="74">
        <f t="shared" si="62"/>
        <v>9.7</v>
      </c>
      <c r="H367" s="74">
        <f t="shared" si="62"/>
        <v>9.7</v>
      </c>
      <c r="I367" s="74">
        <f t="shared" si="62"/>
        <v>0</v>
      </c>
    </row>
    <row r="368" spans="1:9" s="32" customFormat="1" ht="15.75">
      <c r="A368" s="148" t="s">
        <v>221</v>
      </c>
      <c r="B368" s="149"/>
      <c r="C368" s="152" t="s">
        <v>152</v>
      </c>
      <c r="D368" s="152" t="s">
        <v>197</v>
      </c>
      <c r="E368" s="210" t="s">
        <v>672</v>
      </c>
      <c r="F368" s="208" t="s">
        <v>222</v>
      </c>
      <c r="G368" s="74">
        <v>9.7</v>
      </c>
      <c r="H368" s="74">
        <v>9.7</v>
      </c>
      <c r="I368" s="74">
        <f>G368-H368</f>
        <v>0</v>
      </c>
    </row>
    <row r="369" spans="1:9" s="32" customFormat="1" ht="39">
      <c r="A369" s="151" t="s">
        <v>471</v>
      </c>
      <c r="B369" s="149"/>
      <c r="C369" s="152" t="s">
        <v>152</v>
      </c>
      <c r="D369" s="152" t="s">
        <v>197</v>
      </c>
      <c r="E369" s="210" t="s">
        <v>470</v>
      </c>
      <c r="F369" s="208"/>
      <c r="G369" s="74">
        <f aca="true" t="shared" si="63" ref="G369:I370">G370</f>
        <v>1771.7</v>
      </c>
      <c r="H369" s="74">
        <f t="shared" si="63"/>
        <v>1771.7</v>
      </c>
      <c r="I369" s="74">
        <f t="shared" si="63"/>
        <v>0</v>
      </c>
    </row>
    <row r="370" spans="1:9" s="32" customFormat="1" ht="15.75">
      <c r="A370" s="147" t="s">
        <v>220</v>
      </c>
      <c r="B370" s="149"/>
      <c r="C370" s="152" t="s">
        <v>152</v>
      </c>
      <c r="D370" s="152" t="s">
        <v>197</v>
      </c>
      <c r="E370" s="210" t="s">
        <v>470</v>
      </c>
      <c r="F370" s="208" t="s">
        <v>206</v>
      </c>
      <c r="G370" s="74">
        <f t="shared" si="63"/>
        <v>1771.7</v>
      </c>
      <c r="H370" s="74">
        <f t="shared" si="63"/>
        <v>1771.7</v>
      </c>
      <c r="I370" s="74">
        <f t="shared" si="63"/>
        <v>0</v>
      </c>
    </row>
    <row r="371" spans="1:9" s="32" customFormat="1" ht="15.75">
      <c r="A371" s="148" t="s">
        <v>221</v>
      </c>
      <c r="B371" s="149"/>
      <c r="C371" s="152" t="s">
        <v>152</v>
      </c>
      <c r="D371" s="152" t="s">
        <v>197</v>
      </c>
      <c r="E371" s="210" t="s">
        <v>470</v>
      </c>
      <c r="F371" s="208" t="s">
        <v>222</v>
      </c>
      <c r="G371" s="74">
        <v>1771.7</v>
      </c>
      <c r="H371" s="74">
        <v>1771.7</v>
      </c>
      <c r="I371" s="74">
        <f>G371-H371</f>
        <v>0</v>
      </c>
    </row>
    <row r="372" spans="1:9" s="36" customFormat="1" ht="26.25">
      <c r="A372" s="151" t="s">
        <v>473</v>
      </c>
      <c r="B372" s="149"/>
      <c r="C372" s="152" t="s">
        <v>152</v>
      </c>
      <c r="D372" s="152" t="s">
        <v>197</v>
      </c>
      <c r="E372" s="210" t="s">
        <v>472</v>
      </c>
      <c r="F372" s="208"/>
      <c r="G372" s="74">
        <f aca="true" t="shared" si="64" ref="G372:I373">G373</f>
        <v>92</v>
      </c>
      <c r="H372" s="74">
        <f t="shared" si="64"/>
        <v>92</v>
      </c>
      <c r="I372" s="74">
        <f t="shared" si="64"/>
        <v>0</v>
      </c>
    </row>
    <row r="373" spans="1:9" s="36" customFormat="1" ht="15.75">
      <c r="A373" s="147" t="s">
        <v>102</v>
      </c>
      <c r="B373" s="149"/>
      <c r="C373" s="152" t="s">
        <v>152</v>
      </c>
      <c r="D373" s="152" t="s">
        <v>197</v>
      </c>
      <c r="E373" s="210" t="s">
        <v>472</v>
      </c>
      <c r="F373" s="208" t="s">
        <v>98</v>
      </c>
      <c r="G373" s="74">
        <f t="shared" si="64"/>
        <v>92</v>
      </c>
      <c r="H373" s="74">
        <f t="shared" si="64"/>
        <v>92</v>
      </c>
      <c r="I373" s="74">
        <f t="shared" si="64"/>
        <v>0</v>
      </c>
    </row>
    <row r="374" spans="1:9" s="36" customFormat="1" ht="15.75">
      <c r="A374" s="148" t="s">
        <v>97</v>
      </c>
      <c r="B374" s="149"/>
      <c r="C374" s="152" t="s">
        <v>152</v>
      </c>
      <c r="D374" s="152" t="s">
        <v>197</v>
      </c>
      <c r="E374" s="210" t="s">
        <v>472</v>
      </c>
      <c r="F374" s="208" t="s">
        <v>99</v>
      </c>
      <c r="G374" s="74">
        <v>92</v>
      </c>
      <c r="H374" s="74">
        <v>92</v>
      </c>
      <c r="I374" s="74">
        <f>G374-H374</f>
        <v>0</v>
      </c>
    </row>
    <row r="375" spans="1:9" ht="41.25" customHeight="1">
      <c r="A375" s="109" t="s">
        <v>298</v>
      </c>
      <c r="B375" s="123"/>
      <c r="C375" s="152" t="s">
        <v>152</v>
      </c>
      <c r="D375" s="152" t="s">
        <v>197</v>
      </c>
      <c r="E375" s="210" t="s">
        <v>576</v>
      </c>
      <c r="F375" s="208"/>
      <c r="G375" s="74">
        <f aca="true" t="shared" si="65" ref="G375:H382">G376</f>
        <v>219.7</v>
      </c>
      <c r="H375" s="74">
        <f t="shared" si="65"/>
        <v>219.7</v>
      </c>
      <c r="I375" s="29">
        <f aca="true" t="shared" si="66" ref="I375:I382">I376</f>
        <v>0</v>
      </c>
    </row>
    <row r="376" spans="1:9" ht="15" customHeight="1">
      <c r="A376" s="147" t="s">
        <v>220</v>
      </c>
      <c r="B376" s="123"/>
      <c r="C376" s="152" t="s">
        <v>152</v>
      </c>
      <c r="D376" s="152" t="s">
        <v>197</v>
      </c>
      <c r="E376" s="210" t="s">
        <v>576</v>
      </c>
      <c r="F376" s="208" t="s">
        <v>206</v>
      </c>
      <c r="G376" s="74">
        <f t="shared" si="65"/>
        <v>219.7</v>
      </c>
      <c r="H376" s="74">
        <f t="shared" si="65"/>
        <v>219.7</v>
      </c>
      <c r="I376" s="29">
        <f t="shared" si="66"/>
        <v>0</v>
      </c>
    </row>
    <row r="377" spans="1:9" ht="18.75" customHeight="1">
      <c r="A377" s="148" t="s">
        <v>221</v>
      </c>
      <c r="B377" s="123"/>
      <c r="C377" s="152" t="s">
        <v>152</v>
      </c>
      <c r="D377" s="152" t="s">
        <v>197</v>
      </c>
      <c r="E377" s="210" t="s">
        <v>576</v>
      </c>
      <c r="F377" s="208" t="s">
        <v>222</v>
      </c>
      <c r="G377" s="74">
        <v>219.7</v>
      </c>
      <c r="H377" s="74">
        <v>219.7</v>
      </c>
      <c r="I377" s="74">
        <f>G377-H377</f>
        <v>0</v>
      </c>
    </row>
    <row r="378" spans="1:9" ht="26.25">
      <c r="A378" s="109" t="s">
        <v>634</v>
      </c>
      <c r="B378" s="123"/>
      <c r="C378" s="152" t="s">
        <v>152</v>
      </c>
      <c r="D378" s="152" t="s">
        <v>197</v>
      </c>
      <c r="E378" s="210" t="s">
        <v>633</v>
      </c>
      <c r="F378" s="208"/>
      <c r="G378" s="74">
        <f t="shared" si="65"/>
        <v>2926.8</v>
      </c>
      <c r="H378" s="74">
        <f t="shared" si="65"/>
        <v>2926.8</v>
      </c>
      <c r="I378" s="29">
        <f t="shared" si="66"/>
        <v>0</v>
      </c>
    </row>
    <row r="379" spans="1:9" ht="18.75" customHeight="1">
      <c r="A379" s="147" t="s">
        <v>220</v>
      </c>
      <c r="B379" s="123"/>
      <c r="C379" s="152" t="s">
        <v>152</v>
      </c>
      <c r="D379" s="152" t="s">
        <v>197</v>
      </c>
      <c r="E379" s="210" t="s">
        <v>633</v>
      </c>
      <c r="F379" s="208" t="s">
        <v>206</v>
      </c>
      <c r="G379" s="74">
        <f t="shared" si="65"/>
        <v>2926.8</v>
      </c>
      <c r="H379" s="74">
        <f t="shared" si="65"/>
        <v>2926.8</v>
      </c>
      <c r="I379" s="29">
        <f t="shared" si="66"/>
        <v>0</v>
      </c>
    </row>
    <row r="380" spans="1:9" ht="18.75" customHeight="1">
      <c r="A380" s="148" t="s">
        <v>221</v>
      </c>
      <c r="B380" s="123"/>
      <c r="C380" s="152" t="s">
        <v>152</v>
      </c>
      <c r="D380" s="152" t="s">
        <v>197</v>
      </c>
      <c r="E380" s="210" t="s">
        <v>633</v>
      </c>
      <c r="F380" s="208" t="s">
        <v>222</v>
      </c>
      <c r="G380" s="74">
        <v>2926.8</v>
      </c>
      <c r="H380" s="74">
        <v>2926.8</v>
      </c>
      <c r="I380" s="74">
        <f>G380-H380</f>
        <v>0</v>
      </c>
    </row>
    <row r="381" spans="1:9" ht="26.25">
      <c r="A381" s="109" t="s">
        <v>383</v>
      </c>
      <c r="B381" s="123"/>
      <c r="C381" s="152" t="s">
        <v>152</v>
      </c>
      <c r="D381" s="152" t="s">
        <v>197</v>
      </c>
      <c r="E381" s="210" t="s">
        <v>384</v>
      </c>
      <c r="F381" s="208"/>
      <c r="G381" s="74">
        <f t="shared" si="65"/>
        <v>1148.5</v>
      </c>
      <c r="H381" s="74">
        <f t="shared" si="65"/>
        <v>1148.5</v>
      </c>
      <c r="I381" s="29">
        <f t="shared" si="66"/>
        <v>0</v>
      </c>
    </row>
    <row r="382" spans="1:9" ht="18.75" customHeight="1">
      <c r="A382" s="147" t="s">
        <v>220</v>
      </c>
      <c r="B382" s="123"/>
      <c r="C382" s="152" t="s">
        <v>152</v>
      </c>
      <c r="D382" s="152" t="s">
        <v>197</v>
      </c>
      <c r="E382" s="210" t="s">
        <v>384</v>
      </c>
      <c r="F382" s="208" t="s">
        <v>206</v>
      </c>
      <c r="G382" s="74">
        <f t="shared" si="65"/>
        <v>1148.5</v>
      </c>
      <c r="H382" s="74">
        <f t="shared" si="65"/>
        <v>1148.5</v>
      </c>
      <c r="I382" s="29">
        <f t="shared" si="66"/>
        <v>0</v>
      </c>
    </row>
    <row r="383" spans="1:9" ht="18.75" customHeight="1">
      <c r="A383" s="148" t="s">
        <v>221</v>
      </c>
      <c r="B383" s="123"/>
      <c r="C383" s="152" t="s">
        <v>152</v>
      </c>
      <c r="D383" s="152" t="s">
        <v>197</v>
      </c>
      <c r="E383" s="210" t="s">
        <v>384</v>
      </c>
      <c r="F383" s="208" t="s">
        <v>222</v>
      </c>
      <c r="G383" s="74">
        <v>1148.5</v>
      </c>
      <c r="H383" s="74">
        <v>1148.5</v>
      </c>
      <c r="I383" s="74">
        <f>G383-H383</f>
        <v>0</v>
      </c>
    </row>
    <row r="384" spans="1:9" ht="24.75" customHeight="1">
      <c r="A384" s="160" t="s">
        <v>436</v>
      </c>
      <c r="B384" s="161"/>
      <c r="C384" s="153" t="s">
        <v>152</v>
      </c>
      <c r="D384" s="153" t="s">
        <v>197</v>
      </c>
      <c r="E384" s="206" t="s">
        <v>44</v>
      </c>
      <c r="F384" s="207"/>
      <c r="G384" s="78">
        <f>G385</f>
        <v>3144.1</v>
      </c>
      <c r="H384" s="78">
        <f>H385</f>
        <v>3144.1</v>
      </c>
      <c r="I384" s="78">
        <f>I385</f>
        <v>0</v>
      </c>
    </row>
    <row r="385" spans="1:9" ht="18.75" customHeight="1">
      <c r="A385" s="162" t="s">
        <v>447</v>
      </c>
      <c r="B385" s="163"/>
      <c r="C385" s="153" t="s">
        <v>152</v>
      </c>
      <c r="D385" s="153" t="s">
        <v>197</v>
      </c>
      <c r="E385" s="206" t="s">
        <v>263</v>
      </c>
      <c r="F385" s="207"/>
      <c r="G385" s="78">
        <f>G386+G389</f>
        <v>3144.1</v>
      </c>
      <c r="H385" s="78">
        <f>H386+H389</f>
        <v>3144.1</v>
      </c>
      <c r="I385" s="78">
        <f>I386+I389</f>
        <v>0</v>
      </c>
    </row>
    <row r="386" spans="1:9" ht="18.75" customHeight="1">
      <c r="A386" s="148" t="s">
        <v>564</v>
      </c>
      <c r="B386" s="123"/>
      <c r="C386" s="152" t="s">
        <v>152</v>
      </c>
      <c r="D386" s="152" t="s">
        <v>197</v>
      </c>
      <c r="E386" s="202" t="s">
        <v>574</v>
      </c>
      <c r="F386" s="202"/>
      <c r="G386" s="74">
        <f aca="true" t="shared" si="67" ref="G386:I387">G387</f>
        <v>45</v>
      </c>
      <c r="H386" s="74">
        <f t="shared" si="67"/>
        <v>45</v>
      </c>
      <c r="I386" s="74">
        <f t="shared" si="67"/>
        <v>0</v>
      </c>
    </row>
    <row r="387" spans="1:9" s="36" customFormat="1" ht="15.75">
      <c r="A387" s="128" t="s">
        <v>220</v>
      </c>
      <c r="B387" s="111"/>
      <c r="C387" s="174" t="s">
        <v>152</v>
      </c>
      <c r="D387" s="174" t="s">
        <v>197</v>
      </c>
      <c r="E387" s="202" t="s">
        <v>574</v>
      </c>
      <c r="F387" s="202" t="s">
        <v>206</v>
      </c>
      <c r="G387" s="74">
        <f t="shared" si="67"/>
        <v>45</v>
      </c>
      <c r="H387" s="74">
        <f t="shared" si="67"/>
        <v>45</v>
      </c>
      <c r="I387" s="74">
        <f t="shared" si="67"/>
        <v>0</v>
      </c>
    </row>
    <row r="388" spans="1:9" s="36" customFormat="1" ht="15.75">
      <c r="A388" s="135" t="s">
        <v>221</v>
      </c>
      <c r="B388" s="111"/>
      <c r="C388" s="174" t="s">
        <v>152</v>
      </c>
      <c r="D388" s="174" t="s">
        <v>197</v>
      </c>
      <c r="E388" s="202" t="s">
        <v>574</v>
      </c>
      <c r="F388" s="202" t="s">
        <v>222</v>
      </c>
      <c r="G388" s="74">
        <v>45</v>
      </c>
      <c r="H388" s="74">
        <v>45</v>
      </c>
      <c r="I388" s="74">
        <f>G388-H388</f>
        <v>0</v>
      </c>
    </row>
    <row r="389" spans="1:9" s="36" customFormat="1" ht="15.75">
      <c r="A389" s="164" t="s">
        <v>379</v>
      </c>
      <c r="B389" s="149"/>
      <c r="C389" s="152" t="s">
        <v>152</v>
      </c>
      <c r="D389" s="152" t="s">
        <v>197</v>
      </c>
      <c r="E389" s="210" t="s">
        <v>321</v>
      </c>
      <c r="F389" s="208"/>
      <c r="G389" s="74">
        <f aca="true" t="shared" si="68" ref="G389:I390">G390</f>
        <v>3099.1</v>
      </c>
      <c r="H389" s="74">
        <f t="shared" si="68"/>
        <v>3099.1</v>
      </c>
      <c r="I389" s="74">
        <f t="shared" si="68"/>
        <v>0</v>
      </c>
    </row>
    <row r="390" spans="1:9" s="36" customFormat="1" ht="15.75">
      <c r="A390" s="128" t="s">
        <v>220</v>
      </c>
      <c r="B390" s="111"/>
      <c r="C390" s="174" t="s">
        <v>152</v>
      </c>
      <c r="D390" s="174" t="s">
        <v>197</v>
      </c>
      <c r="E390" s="210" t="s">
        <v>321</v>
      </c>
      <c r="F390" s="202" t="s">
        <v>206</v>
      </c>
      <c r="G390" s="74">
        <f t="shared" si="68"/>
        <v>3099.1</v>
      </c>
      <c r="H390" s="74">
        <f t="shared" si="68"/>
        <v>3099.1</v>
      </c>
      <c r="I390" s="74">
        <f t="shared" si="68"/>
        <v>0</v>
      </c>
    </row>
    <row r="391" spans="1:9" s="36" customFormat="1" ht="15.75">
      <c r="A391" s="135" t="s">
        <v>221</v>
      </c>
      <c r="B391" s="111"/>
      <c r="C391" s="174" t="s">
        <v>152</v>
      </c>
      <c r="D391" s="174" t="s">
        <v>197</v>
      </c>
      <c r="E391" s="210" t="s">
        <v>321</v>
      </c>
      <c r="F391" s="202" t="s">
        <v>222</v>
      </c>
      <c r="G391" s="74">
        <v>3099.1</v>
      </c>
      <c r="H391" s="74">
        <v>3099.1</v>
      </c>
      <c r="I391" s="74">
        <f>G391-H391</f>
        <v>0</v>
      </c>
    </row>
    <row r="392" spans="1:9" s="36" customFormat="1" ht="14.25" customHeight="1">
      <c r="A392" s="145" t="s">
        <v>435</v>
      </c>
      <c r="B392" s="107"/>
      <c r="C392" s="173" t="s">
        <v>152</v>
      </c>
      <c r="D392" s="173" t="s">
        <v>197</v>
      </c>
      <c r="E392" s="201" t="s">
        <v>93</v>
      </c>
      <c r="F392" s="203"/>
      <c r="G392" s="78">
        <f aca="true" t="shared" si="69" ref="G392:H394">G393</f>
        <v>214.7</v>
      </c>
      <c r="H392" s="78">
        <f t="shared" si="69"/>
        <v>225</v>
      </c>
      <c r="I392" s="78">
        <f>I393</f>
        <v>-10.300000000000011</v>
      </c>
    </row>
    <row r="393" spans="1:9" s="36" customFormat="1" ht="15.75" customHeight="1">
      <c r="A393" s="165" t="s">
        <v>128</v>
      </c>
      <c r="B393" s="137"/>
      <c r="C393" s="174" t="s">
        <v>152</v>
      </c>
      <c r="D393" s="174" t="s">
        <v>197</v>
      </c>
      <c r="E393" s="200" t="s">
        <v>94</v>
      </c>
      <c r="F393" s="202"/>
      <c r="G393" s="74">
        <f t="shared" si="69"/>
        <v>214.7</v>
      </c>
      <c r="H393" s="74">
        <f t="shared" si="69"/>
        <v>225</v>
      </c>
      <c r="I393" s="74">
        <f>I394</f>
        <v>-10.300000000000011</v>
      </c>
    </row>
    <row r="394" spans="1:9" s="36" customFormat="1" ht="15.75">
      <c r="A394" s="128" t="s">
        <v>220</v>
      </c>
      <c r="B394" s="137"/>
      <c r="C394" s="174" t="s">
        <v>152</v>
      </c>
      <c r="D394" s="174" t="s">
        <v>197</v>
      </c>
      <c r="E394" s="200" t="s">
        <v>94</v>
      </c>
      <c r="F394" s="202" t="s">
        <v>206</v>
      </c>
      <c r="G394" s="74">
        <f t="shared" si="69"/>
        <v>214.7</v>
      </c>
      <c r="H394" s="74">
        <f t="shared" si="69"/>
        <v>225</v>
      </c>
      <c r="I394" s="74">
        <f>I395</f>
        <v>-10.300000000000011</v>
      </c>
    </row>
    <row r="395" spans="1:9" s="36" customFormat="1" ht="15.75">
      <c r="A395" s="135" t="s">
        <v>221</v>
      </c>
      <c r="B395" s="137"/>
      <c r="C395" s="174" t="s">
        <v>152</v>
      </c>
      <c r="D395" s="174" t="s">
        <v>197</v>
      </c>
      <c r="E395" s="200" t="s">
        <v>94</v>
      </c>
      <c r="F395" s="202" t="s">
        <v>222</v>
      </c>
      <c r="G395" s="74">
        <f>216.5-1.8</f>
        <v>214.7</v>
      </c>
      <c r="H395" s="74">
        <v>225</v>
      </c>
      <c r="I395" s="74">
        <f>G395-H395</f>
        <v>-10.300000000000011</v>
      </c>
    </row>
    <row r="396" spans="1:9" s="32" customFormat="1" ht="15.75">
      <c r="A396" s="166" t="s">
        <v>280</v>
      </c>
      <c r="B396" s="107"/>
      <c r="C396" s="173" t="s">
        <v>152</v>
      </c>
      <c r="D396" s="173" t="s">
        <v>181</v>
      </c>
      <c r="E396" s="201"/>
      <c r="F396" s="202"/>
      <c r="G396" s="78">
        <f>G397+G439</f>
        <v>27858.899999999998</v>
      </c>
      <c r="H396" s="78">
        <f>H397+H439</f>
        <v>28078</v>
      </c>
      <c r="I396" s="78">
        <f>I397+I439</f>
        <v>-219.10000000000002</v>
      </c>
    </row>
    <row r="397" spans="1:9" s="32" customFormat="1" ht="15.75">
      <c r="A397" s="145" t="s">
        <v>443</v>
      </c>
      <c r="B397" s="153"/>
      <c r="C397" s="153" t="s">
        <v>152</v>
      </c>
      <c r="D397" s="153" t="s">
        <v>181</v>
      </c>
      <c r="E397" s="206" t="s">
        <v>13</v>
      </c>
      <c r="F397" s="202"/>
      <c r="G397" s="78">
        <f>G398</f>
        <v>27833.899999999998</v>
      </c>
      <c r="H397" s="78">
        <f>H398</f>
        <v>28053</v>
      </c>
      <c r="I397" s="78">
        <f>I398</f>
        <v>-219.10000000000002</v>
      </c>
    </row>
    <row r="398" spans="1:9" s="32" customFormat="1" ht="15.75">
      <c r="A398" s="106" t="s">
        <v>442</v>
      </c>
      <c r="B398" s="138"/>
      <c r="C398" s="173" t="s">
        <v>152</v>
      </c>
      <c r="D398" s="173" t="s">
        <v>181</v>
      </c>
      <c r="E398" s="201" t="s">
        <v>36</v>
      </c>
      <c r="F398" s="203"/>
      <c r="G398" s="78">
        <f>G399+G409+G415+G418+G421+G424+G427+G430+G402+G412+G433+G436</f>
        <v>27833.899999999998</v>
      </c>
      <c r="H398" s="78">
        <f>H399+H409+H415+H418+H421+H424+H427+H430+H402+H412+H433+H436</f>
        <v>28053</v>
      </c>
      <c r="I398" s="78">
        <f>I399+I409+I415+I418+I421+I424+I427+I430+I402+I412+I433+I436</f>
        <v>-219.10000000000002</v>
      </c>
    </row>
    <row r="399" spans="1:9" s="32" customFormat="1" ht="15.75">
      <c r="A399" s="165" t="s">
        <v>127</v>
      </c>
      <c r="B399" s="111"/>
      <c r="C399" s="174" t="s">
        <v>152</v>
      </c>
      <c r="D399" s="174" t="s">
        <v>181</v>
      </c>
      <c r="E399" s="200" t="s">
        <v>37</v>
      </c>
      <c r="F399" s="202"/>
      <c r="G399" s="74">
        <f>G400</f>
        <v>12666.8</v>
      </c>
      <c r="H399" s="74">
        <f>H400</f>
        <v>12666.8</v>
      </c>
      <c r="I399" s="74">
        <f>I400</f>
        <v>0</v>
      </c>
    </row>
    <row r="400" spans="1:9" s="32" customFormat="1" ht="15.75">
      <c r="A400" s="128" t="s">
        <v>220</v>
      </c>
      <c r="B400" s="111"/>
      <c r="C400" s="174" t="s">
        <v>152</v>
      </c>
      <c r="D400" s="174" t="s">
        <v>181</v>
      </c>
      <c r="E400" s="200" t="s">
        <v>37</v>
      </c>
      <c r="F400" s="202" t="s">
        <v>206</v>
      </c>
      <c r="G400" s="74">
        <f>SUM(G401:G401)</f>
        <v>12666.8</v>
      </c>
      <c r="H400" s="74">
        <f>SUM(H401:H401)</f>
        <v>12666.8</v>
      </c>
      <c r="I400" s="74">
        <f>SUM(I401:I401)</f>
        <v>0</v>
      </c>
    </row>
    <row r="401" spans="1:9" s="32" customFormat="1" ht="15.75">
      <c r="A401" s="135" t="s">
        <v>225</v>
      </c>
      <c r="B401" s="107"/>
      <c r="C401" s="174" t="s">
        <v>152</v>
      </c>
      <c r="D401" s="174" t="s">
        <v>181</v>
      </c>
      <c r="E401" s="200" t="s">
        <v>37</v>
      </c>
      <c r="F401" s="202" t="s">
        <v>226</v>
      </c>
      <c r="G401" s="74">
        <v>12666.8</v>
      </c>
      <c r="H401" s="74">
        <v>12666.8</v>
      </c>
      <c r="I401" s="74">
        <f>G401-H401</f>
        <v>0</v>
      </c>
    </row>
    <row r="402" spans="1:9" s="36" customFormat="1" ht="15.75">
      <c r="A402" s="130" t="s">
        <v>506</v>
      </c>
      <c r="B402" s="137"/>
      <c r="C402" s="174" t="s">
        <v>152</v>
      </c>
      <c r="D402" s="174" t="s">
        <v>181</v>
      </c>
      <c r="E402" s="200" t="s">
        <v>504</v>
      </c>
      <c r="F402" s="202"/>
      <c r="G402" s="99">
        <f>G403+G407</f>
        <v>12624.900000000001</v>
      </c>
      <c r="H402" s="99">
        <f>H403+H407</f>
        <v>12624.900000000001</v>
      </c>
      <c r="I402" s="99">
        <f>I403+I407</f>
        <v>0</v>
      </c>
    </row>
    <row r="403" spans="1:9" s="36" customFormat="1" ht="15.75">
      <c r="A403" s="128" t="s">
        <v>220</v>
      </c>
      <c r="B403" s="137"/>
      <c r="C403" s="174" t="s">
        <v>152</v>
      </c>
      <c r="D403" s="174" t="s">
        <v>181</v>
      </c>
      <c r="E403" s="200" t="s">
        <v>504</v>
      </c>
      <c r="F403" s="202" t="s">
        <v>206</v>
      </c>
      <c r="G403" s="99">
        <f>G404+G405+G406</f>
        <v>12359.400000000001</v>
      </c>
      <c r="H403" s="99">
        <f>H404+H405+H406</f>
        <v>12359.400000000001</v>
      </c>
      <c r="I403" s="99">
        <f>I404+I405+I406</f>
        <v>0</v>
      </c>
    </row>
    <row r="404" spans="1:9" s="32" customFormat="1" ht="15.75">
      <c r="A404" s="108" t="s">
        <v>221</v>
      </c>
      <c r="B404" s="111"/>
      <c r="C404" s="174" t="s">
        <v>152</v>
      </c>
      <c r="D404" s="174" t="s">
        <v>181</v>
      </c>
      <c r="E404" s="200" t="s">
        <v>504</v>
      </c>
      <c r="F404" s="202" t="s">
        <v>222</v>
      </c>
      <c r="G404" s="74">
        <v>265.6</v>
      </c>
      <c r="H404" s="74">
        <v>265.6</v>
      </c>
      <c r="I404" s="74">
        <f>G404-H404</f>
        <v>0</v>
      </c>
    </row>
    <row r="405" spans="1:9" s="36" customFormat="1" ht="15.75">
      <c r="A405" s="135" t="s">
        <v>227</v>
      </c>
      <c r="B405" s="137"/>
      <c r="C405" s="174" t="s">
        <v>152</v>
      </c>
      <c r="D405" s="174" t="s">
        <v>181</v>
      </c>
      <c r="E405" s="200" t="s">
        <v>504</v>
      </c>
      <c r="F405" s="202" t="s">
        <v>226</v>
      </c>
      <c r="G405" s="99">
        <f>11562.6+265.6</f>
        <v>11828.2</v>
      </c>
      <c r="H405" s="99">
        <f>11562.6+265.6</f>
        <v>11828.2</v>
      </c>
      <c r="I405" s="74">
        <f>G405-H405</f>
        <v>0</v>
      </c>
    </row>
    <row r="406" spans="1:9" s="36" customFormat="1" ht="26.25">
      <c r="A406" s="108" t="s">
        <v>518</v>
      </c>
      <c r="B406" s="167"/>
      <c r="C406" s="174" t="s">
        <v>152</v>
      </c>
      <c r="D406" s="174" t="s">
        <v>181</v>
      </c>
      <c r="E406" s="202" t="s">
        <v>504</v>
      </c>
      <c r="F406" s="202" t="s">
        <v>236</v>
      </c>
      <c r="G406" s="74">
        <v>265.6</v>
      </c>
      <c r="H406" s="74">
        <v>265.6</v>
      </c>
      <c r="I406" s="74">
        <f>G406-H406</f>
        <v>0</v>
      </c>
    </row>
    <row r="407" spans="1:9" s="36" customFormat="1" ht="15.75">
      <c r="A407" s="108" t="s">
        <v>107</v>
      </c>
      <c r="B407" s="167"/>
      <c r="C407" s="174" t="s">
        <v>152</v>
      </c>
      <c r="D407" s="174" t="s">
        <v>181</v>
      </c>
      <c r="E407" s="202" t="s">
        <v>504</v>
      </c>
      <c r="F407" s="202" t="s">
        <v>100</v>
      </c>
      <c r="G407" s="74">
        <f>G408</f>
        <v>265.5</v>
      </c>
      <c r="H407" s="74">
        <f>H408</f>
        <v>265.5</v>
      </c>
      <c r="I407" s="29">
        <f>I408</f>
        <v>0</v>
      </c>
    </row>
    <row r="408" spans="1:9" s="36" customFormat="1" ht="26.25">
      <c r="A408" s="108" t="s">
        <v>266</v>
      </c>
      <c r="B408" s="167"/>
      <c r="C408" s="174" t="s">
        <v>152</v>
      </c>
      <c r="D408" s="174" t="s">
        <v>181</v>
      </c>
      <c r="E408" s="202" t="s">
        <v>504</v>
      </c>
      <c r="F408" s="202" t="s">
        <v>101</v>
      </c>
      <c r="G408" s="74">
        <v>265.5</v>
      </c>
      <c r="H408" s="74">
        <v>265.5</v>
      </c>
      <c r="I408" s="74">
        <f>G408-H408</f>
        <v>0</v>
      </c>
    </row>
    <row r="409" spans="1:9" s="32" customFormat="1" ht="15.75">
      <c r="A409" s="144" t="s">
        <v>253</v>
      </c>
      <c r="B409" s="107"/>
      <c r="C409" s="174" t="s">
        <v>152</v>
      </c>
      <c r="D409" s="174" t="s">
        <v>181</v>
      </c>
      <c r="E409" s="200" t="s">
        <v>255</v>
      </c>
      <c r="F409" s="202"/>
      <c r="G409" s="74">
        <f aca="true" t="shared" si="70" ref="G409:I413">G410</f>
        <v>122.8</v>
      </c>
      <c r="H409" s="74">
        <f t="shared" si="70"/>
        <v>123.4</v>
      </c>
      <c r="I409" s="74">
        <f t="shared" si="70"/>
        <v>-0.6000000000000085</v>
      </c>
    </row>
    <row r="410" spans="1:9" ht="24.75" customHeight="1">
      <c r="A410" s="128" t="s">
        <v>220</v>
      </c>
      <c r="B410" s="107"/>
      <c r="C410" s="174" t="s">
        <v>152</v>
      </c>
      <c r="D410" s="174" t="s">
        <v>181</v>
      </c>
      <c r="E410" s="200" t="s">
        <v>255</v>
      </c>
      <c r="F410" s="202" t="s">
        <v>206</v>
      </c>
      <c r="G410" s="74">
        <f t="shared" si="70"/>
        <v>122.8</v>
      </c>
      <c r="H410" s="74">
        <f t="shared" si="70"/>
        <v>123.4</v>
      </c>
      <c r="I410" s="74">
        <f t="shared" si="70"/>
        <v>-0.6000000000000085</v>
      </c>
    </row>
    <row r="411" spans="1:9" ht="15" customHeight="1">
      <c r="A411" s="135" t="s">
        <v>225</v>
      </c>
      <c r="B411" s="107"/>
      <c r="C411" s="174" t="s">
        <v>152</v>
      </c>
      <c r="D411" s="174" t="s">
        <v>181</v>
      </c>
      <c r="E411" s="200" t="s">
        <v>255</v>
      </c>
      <c r="F411" s="202" t="s">
        <v>226</v>
      </c>
      <c r="G411" s="74">
        <v>122.8</v>
      </c>
      <c r="H411" s="74">
        <v>123.4</v>
      </c>
      <c r="I411" s="74">
        <f>G411-H411</f>
        <v>-0.6000000000000085</v>
      </c>
    </row>
    <row r="412" spans="1:9" ht="15" customHeight="1">
      <c r="A412" s="144" t="s">
        <v>564</v>
      </c>
      <c r="B412" s="107"/>
      <c r="C412" s="174" t="s">
        <v>152</v>
      </c>
      <c r="D412" s="174" t="s">
        <v>181</v>
      </c>
      <c r="E412" s="200" t="s">
        <v>655</v>
      </c>
      <c r="F412" s="202"/>
      <c r="G412" s="74">
        <f t="shared" si="70"/>
        <v>296.8</v>
      </c>
      <c r="H412" s="74">
        <f t="shared" si="70"/>
        <v>96.8</v>
      </c>
      <c r="I412" s="74">
        <f t="shared" si="70"/>
        <v>200</v>
      </c>
    </row>
    <row r="413" spans="1:9" ht="15" customHeight="1">
      <c r="A413" s="128" t="s">
        <v>220</v>
      </c>
      <c r="B413" s="107"/>
      <c r="C413" s="174" t="s">
        <v>152</v>
      </c>
      <c r="D413" s="174" t="s">
        <v>181</v>
      </c>
      <c r="E413" s="200" t="s">
        <v>655</v>
      </c>
      <c r="F413" s="202" t="s">
        <v>206</v>
      </c>
      <c r="G413" s="74">
        <f t="shared" si="70"/>
        <v>296.8</v>
      </c>
      <c r="H413" s="74">
        <f t="shared" si="70"/>
        <v>96.8</v>
      </c>
      <c r="I413" s="74">
        <f t="shared" si="70"/>
        <v>200</v>
      </c>
    </row>
    <row r="414" spans="1:9" ht="15" customHeight="1">
      <c r="A414" s="135" t="s">
        <v>225</v>
      </c>
      <c r="B414" s="107"/>
      <c r="C414" s="174" t="s">
        <v>152</v>
      </c>
      <c r="D414" s="174" t="s">
        <v>181</v>
      </c>
      <c r="E414" s="200" t="s">
        <v>655</v>
      </c>
      <c r="F414" s="202" t="s">
        <v>226</v>
      </c>
      <c r="G414" s="74">
        <f>96.8+200</f>
        <v>296.8</v>
      </c>
      <c r="H414" s="74">
        <v>96.8</v>
      </c>
      <c r="I414" s="74">
        <f>G414-H414</f>
        <v>200</v>
      </c>
    </row>
    <row r="415" spans="1:9" ht="18.75" customHeight="1">
      <c r="A415" s="108" t="s">
        <v>126</v>
      </c>
      <c r="B415" s="111"/>
      <c r="C415" s="174" t="s">
        <v>152</v>
      </c>
      <c r="D415" s="174" t="s">
        <v>181</v>
      </c>
      <c r="E415" s="200" t="s">
        <v>390</v>
      </c>
      <c r="F415" s="202"/>
      <c r="G415" s="74">
        <f aca="true" t="shared" si="71" ref="G415:I416">G416</f>
        <v>20</v>
      </c>
      <c r="H415" s="74">
        <f t="shared" si="71"/>
        <v>20</v>
      </c>
      <c r="I415" s="74">
        <f t="shared" si="71"/>
        <v>0</v>
      </c>
    </row>
    <row r="416" spans="1:9" ht="18" customHeight="1">
      <c r="A416" s="128" t="s">
        <v>220</v>
      </c>
      <c r="B416" s="111"/>
      <c r="C416" s="174" t="s">
        <v>152</v>
      </c>
      <c r="D416" s="174" t="s">
        <v>181</v>
      </c>
      <c r="E416" s="200" t="s">
        <v>390</v>
      </c>
      <c r="F416" s="202" t="s">
        <v>206</v>
      </c>
      <c r="G416" s="74">
        <f t="shared" si="71"/>
        <v>20</v>
      </c>
      <c r="H416" s="74">
        <f t="shared" si="71"/>
        <v>20</v>
      </c>
      <c r="I416" s="74">
        <f t="shared" si="71"/>
        <v>0</v>
      </c>
    </row>
    <row r="417" spans="1:9" ht="15" customHeight="1">
      <c r="A417" s="135" t="s">
        <v>225</v>
      </c>
      <c r="B417" s="111"/>
      <c r="C417" s="174" t="s">
        <v>152</v>
      </c>
      <c r="D417" s="174" t="s">
        <v>181</v>
      </c>
      <c r="E417" s="200" t="s">
        <v>390</v>
      </c>
      <c r="F417" s="202" t="s">
        <v>226</v>
      </c>
      <c r="G417" s="74">
        <v>20</v>
      </c>
      <c r="H417" s="74">
        <v>20</v>
      </c>
      <c r="I417" s="74">
        <f>G417-H417</f>
        <v>0</v>
      </c>
    </row>
    <row r="418" spans="1:9" s="32" customFormat="1" ht="15.75">
      <c r="A418" s="130" t="s">
        <v>368</v>
      </c>
      <c r="B418" s="107"/>
      <c r="C418" s="174" t="s">
        <v>202</v>
      </c>
      <c r="D418" s="174" t="s">
        <v>181</v>
      </c>
      <c r="E418" s="200" t="s">
        <v>433</v>
      </c>
      <c r="F418" s="202"/>
      <c r="G418" s="74">
        <f aca="true" t="shared" si="72" ref="G418:I419">G419</f>
        <v>435</v>
      </c>
      <c r="H418" s="74">
        <f t="shared" si="72"/>
        <v>435</v>
      </c>
      <c r="I418" s="74">
        <f t="shared" si="72"/>
        <v>0</v>
      </c>
    </row>
    <row r="419" spans="1:9" s="32" customFormat="1" ht="15.75">
      <c r="A419" s="128" t="s">
        <v>220</v>
      </c>
      <c r="B419" s="107"/>
      <c r="C419" s="174" t="s">
        <v>152</v>
      </c>
      <c r="D419" s="174" t="s">
        <v>181</v>
      </c>
      <c r="E419" s="200" t="s">
        <v>433</v>
      </c>
      <c r="F419" s="202" t="s">
        <v>206</v>
      </c>
      <c r="G419" s="74">
        <f t="shared" si="72"/>
        <v>435</v>
      </c>
      <c r="H419" s="74">
        <f t="shared" si="72"/>
        <v>435</v>
      </c>
      <c r="I419" s="74">
        <f t="shared" si="72"/>
        <v>0</v>
      </c>
    </row>
    <row r="420" spans="1:9" s="36" customFormat="1" ht="15.75">
      <c r="A420" s="135" t="s">
        <v>227</v>
      </c>
      <c r="B420" s="107"/>
      <c r="C420" s="174" t="s">
        <v>152</v>
      </c>
      <c r="D420" s="174" t="s">
        <v>181</v>
      </c>
      <c r="E420" s="200" t="s">
        <v>433</v>
      </c>
      <c r="F420" s="202" t="s">
        <v>226</v>
      </c>
      <c r="G420" s="74">
        <v>435</v>
      </c>
      <c r="H420" s="74">
        <v>435</v>
      </c>
      <c r="I420" s="74">
        <f>G420-H420</f>
        <v>0</v>
      </c>
    </row>
    <row r="421" spans="1:9" s="32" customFormat="1" ht="15.75">
      <c r="A421" s="130" t="s">
        <v>361</v>
      </c>
      <c r="B421" s="107"/>
      <c r="C421" s="174" t="s">
        <v>202</v>
      </c>
      <c r="D421" s="174" t="s">
        <v>181</v>
      </c>
      <c r="E421" s="200" t="s">
        <v>569</v>
      </c>
      <c r="F421" s="202"/>
      <c r="G421" s="74">
        <f aca="true" t="shared" si="73" ref="G421:I422">G422</f>
        <v>269.9</v>
      </c>
      <c r="H421" s="74">
        <f t="shared" si="73"/>
        <v>269.9</v>
      </c>
      <c r="I421" s="74">
        <f t="shared" si="73"/>
        <v>0</v>
      </c>
    </row>
    <row r="422" spans="1:9" s="32" customFormat="1" ht="15.75">
      <c r="A422" s="128" t="s">
        <v>220</v>
      </c>
      <c r="B422" s="107"/>
      <c r="C422" s="174" t="s">
        <v>152</v>
      </c>
      <c r="D422" s="174" t="s">
        <v>181</v>
      </c>
      <c r="E422" s="200" t="s">
        <v>569</v>
      </c>
      <c r="F422" s="202" t="s">
        <v>206</v>
      </c>
      <c r="G422" s="74">
        <f t="shared" si="73"/>
        <v>269.9</v>
      </c>
      <c r="H422" s="74">
        <f t="shared" si="73"/>
        <v>269.9</v>
      </c>
      <c r="I422" s="74">
        <f t="shared" si="73"/>
        <v>0</v>
      </c>
    </row>
    <row r="423" spans="1:9" s="36" customFormat="1" ht="15.75">
      <c r="A423" s="135" t="s">
        <v>227</v>
      </c>
      <c r="B423" s="107"/>
      <c r="C423" s="174" t="s">
        <v>152</v>
      </c>
      <c r="D423" s="174" t="s">
        <v>181</v>
      </c>
      <c r="E423" s="200" t="s">
        <v>569</v>
      </c>
      <c r="F423" s="202" t="s">
        <v>226</v>
      </c>
      <c r="G423" s="74">
        <v>269.9</v>
      </c>
      <c r="H423" s="74">
        <v>269.9</v>
      </c>
      <c r="I423" s="74">
        <f>G423-H423</f>
        <v>0</v>
      </c>
    </row>
    <row r="424" spans="1:9" s="36" customFormat="1" ht="15.75">
      <c r="A424" s="130" t="s">
        <v>324</v>
      </c>
      <c r="B424" s="107"/>
      <c r="C424" s="174" t="s">
        <v>202</v>
      </c>
      <c r="D424" s="174" t="s">
        <v>181</v>
      </c>
      <c r="E424" s="202" t="s">
        <v>474</v>
      </c>
      <c r="F424" s="202"/>
      <c r="G424" s="74">
        <f aca="true" t="shared" si="74" ref="G424:I425">G425</f>
        <v>39</v>
      </c>
      <c r="H424" s="74">
        <f t="shared" si="74"/>
        <v>39</v>
      </c>
      <c r="I424" s="74">
        <f t="shared" si="74"/>
        <v>0</v>
      </c>
    </row>
    <row r="425" spans="1:9" s="36" customFormat="1" ht="15.75">
      <c r="A425" s="128" t="s">
        <v>220</v>
      </c>
      <c r="B425" s="107"/>
      <c r="C425" s="174" t="s">
        <v>152</v>
      </c>
      <c r="D425" s="174" t="s">
        <v>181</v>
      </c>
      <c r="E425" s="202" t="s">
        <v>474</v>
      </c>
      <c r="F425" s="202" t="s">
        <v>206</v>
      </c>
      <c r="G425" s="74">
        <f t="shared" si="74"/>
        <v>39</v>
      </c>
      <c r="H425" s="74">
        <f t="shared" si="74"/>
        <v>39</v>
      </c>
      <c r="I425" s="74">
        <f t="shared" si="74"/>
        <v>0</v>
      </c>
    </row>
    <row r="426" spans="1:9" s="36" customFormat="1" ht="15.75">
      <c r="A426" s="108" t="s">
        <v>227</v>
      </c>
      <c r="B426" s="107"/>
      <c r="C426" s="174" t="s">
        <v>152</v>
      </c>
      <c r="D426" s="174" t="s">
        <v>181</v>
      </c>
      <c r="E426" s="202" t="s">
        <v>474</v>
      </c>
      <c r="F426" s="202" t="s">
        <v>226</v>
      </c>
      <c r="G426" s="74">
        <v>39</v>
      </c>
      <c r="H426" s="74">
        <v>39</v>
      </c>
      <c r="I426" s="74">
        <f>G426-H426</f>
        <v>0</v>
      </c>
    </row>
    <row r="427" spans="1:9" s="36" customFormat="1" ht="15.75">
      <c r="A427" s="144" t="s">
        <v>325</v>
      </c>
      <c r="B427" s="137"/>
      <c r="C427" s="174" t="s">
        <v>152</v>
      </c>
      <c r="D427" s="174" t="s">
        <v>181</v>
      </c>
      <c r="E427" s="200" t="s">
        <v>38</v>
      </c>
      <c r="F427" s="202"/>
      <c r="G427" s="74">
        <f>G428</f>
        <v>608.7</v>
      </c>
      <c r="H427" s="74">
        <f>H428</f>
        <v>608.7</v>
      </c>
      <c r="I427" s="74">
        <f>I428</f>
        <v>0</v>
      </c>
    </row>
    <row r="428" spans="1:9" s="36" customFormat="1" ht="15.75">
      <c r="A428" s="128" t="s">
        <v>220</v>
      </c>
      <c r="B428" s="137"/>
      <c r="C428" s="174" t="s">
        <v>152</v>
      </c>
      <c r="D428" s="174" t="s">
        <v>181</v>
      </c>
      <c r="E428" s="200" t="s">
        <v>38</v>
      </c>
      <c r="F428" s="202" t="s">
        <v>206</v>
      </c>
      <c r="G428" s="74">
        <f>SUM(G429:G429)</f>
        <v>608.7</v>
      </c>
      <c r="H428" s="74">
        <f>SUM(H429:H429)</f>
        <v>608.7</v>
      </c>
      <c r="I428" s="74">
        <f>SUM(I429:I429)</f>
        <v>0</v>
      </c>
    </row>
    <row r="429" spans="1:9" s="36" customFormat="1" ht="15.75">
      <c r="A429" s="135" t="s">
        <v>225</v>
      </c>
      <c r="B429" s="137"/>
      <c r="C429" s="174" t="s">
        <v>152</v>
      </c>
      <c r="D429" s="174" t="s">
        <v>181</v>
      </c>
      <c r="E429" s="200" t="s">
        <v>38</v>
      </c>
      <c r="F429" s="202" t="s">
        <v>226</v>
      </c>
      <c r="G429" s="74">
        <f>595.5+13.2</f>
        <v>608.7</v>
      </c>
      <c r="H429" s="74">
        <f>595.5+13.2</f>
        <v>608.7</v>
      </c>
      <c r="I429" s="74">
        <f>G429-H429</f>
        <v>0</v>
      </c>
    </row>
    <row r="430" spans="1:9" s="36" customFormat="1" ht="15.75">
      <c r="A430" s="144" t="s">
        <v>326</v>
      </c>
      <c r="B430" s="111"/>
      <c r="C430" s="174" t="s">
        <v>152</v>
      </c>
      <c r="D430" s="174" t="s">
        <v>181</v>
      </c>
      <c r="E430" s="200" t="s">
        <v>42</v>
      </c>
      <c r="F430" s="202"/>
      <c r="G430" s="74">
        <f>G431</f>
        <v>150</v>
      </c>
      <c r="H430" s="74">
        <f>H431</f>
        <v>150</v>
      </c>
      <c r="I430" s="74">
        <f>I431</f>
        <v>0</v>
      </c>
    </row>
    <row r="431" spans="1:9" s="36" customFormat="1" ht="15.75">
      <c r="A431" s="128" t="s">
        <v>220</v>
      </c>
      <c r="B431" s="111"/>
      <c r="C431" s="174" t="s">
        <v>152</v>
      </c>
      <c r="D431" s="174" t="s">
        <v>181</v>
      </c>
      <c r="E431" s="200" t="s">
        <v>42</v>
      </c>
      <c r="F431" s="202" t="s">
        <v>206</v>
      </c>
      <c r="G431" s="74">
        <f>SUM(G432:G432)</f>
        <v>150</v>
      </c>
      <c r="H431" s="74">
        <f>SUM(H432:H432)</f>
        <v>150</v>
      </c>
      <c r="I431" s="74">
        <f>SUM(I432:I432)</f>
        <v>0</v>
      </c>
    </row>
    <row r="432" spans="1:9" s="36" customFormat="1" ht="15.75">
      <c r="A432" s="135" t="s">
        <v>225</v>
      </c>
      <c r="B432" s="107"/>
      <c r="C432" s="174" t="s">
        <v>152</v>
      </c>
      <c r="D432" s="174" t="s">
        <v>181</v>
      </c>
      <c r="E432" s="200" t="s">
        <v>42</v>
      </c>
      <c r="F432" s="202" t="s">
        <v>226</v>
      </c>
      <c r="G432" s="74">
        <v>150</v>
      </c>
      <c r="H432" s="74">
        <v>150</v>
      </c>
      <c r="I432" s="74">
        <f>G432-H432</f>
        <v>0</v>
      </c>
    </row>
    <row r="433" spans="1:9" s="36" customFormat="1" ht="15.75">
      <c r="A433" s="144" t="s">
        <v>680</v>
      </c>
      <c r="B433" s="111"/>
      <c r="C433" s="174" t="s">
        <v>152</v>
      </c>
      <c r="D433" s="174" t="s">
        <v>181</v>
      </c>
      <c r="E433" s="200" t="s">
        <v>686</v>
      </c>
      <c r="F433" s="202"/>
      <c r="G433" s="74">
        <f>G434</f>
        <v>600</v>
      </c>
      <c r="H433" s="74">
        <f>H434</f>
        <v>600</v>
      </c>
      <c r="I433" s="74">
        <f>I434</f>
        <v>0</v>
      </c>
    </row>
    <row r="434" spans="1:9" s="36" customFormat="1" ht="15.75">
      <c r="A434" s="128" t="s">
        <v>220</v>
      </c>
      <c r="B434" s="111"/>
      <c r="C434" s="174" t="s">
        <v>152</v>
      </c>
      <c r="D434" s="174" t="s">
        <v>181</v>
      </c>
      <c r="E434" s="200" t="s">
        <v>686</v>
      </c>
      <c r="F434" s="202" t="s">
        <v>206</v>
      </c>
      <c r="G434" s="74">
        <f>SUM(G435:G435)</f>
        <v>600</v>
      </c>
      <c r="H434" s="74">
        <f>SUM(H435:H435)</f>
        <v>600</v>
      </c>
      <c r="I434" s="74">
        <f>SUM(I435:I435)</f>
        <v>0</v>
      </c>
    </row>
    <row r="435" spans="1:9" s="36" customFormat="1" ht="15.75">
      <c r="A435" s="135" t="s">
        <v>225</v>
      </c>
      <c r="B435" s="107"/>
      <c r="C435" s="174" t="s">
        <v>152</v>
      </c>
      <c r="D435" s="174" t="s">
        <v>181</v>
      </c>
      <c r="E435" s="200" t="s">
        <v>686</v>
      </c>
      <c r="F435" s="202" t="s">
        <v>226</v>
      </c>
      <c r="G435" s="74">
        <v>600</v>
      </c>
      <c r="H435" s="74">
        <v>600</v>
      </c>
      <c r="I435" s="74">
        <f>G435-H435</f>
        <v>0</v>
      </c>
    </row>
    <row r="436" spans="1:9" s="36" customFormat="1" ht="36.75">
      <c r="A436" s="170" t="s">
        <v>694</v>
      </c>
      <c r="B436" s="107"/>
      <c r="C436" s="174" t="s">
        <v>152</v>
      </c>
      <c r="D436" s="174" t="s">
        <v>181</v>
      </c>
      <c r="E436" s="200" t="s">
        <v>695</v>
      </c>
      <c r="F436" s="202"/>
      <c r="G436" s="74">
        <f aca="true" t="shared" si="75" ref="G436:I437">G437</f>
        <v>0</v>
      </c>
      <c r="H436" s="74">
        <f t="shared" si="75"/>
        <v>418.5</v>
      </c>
      <c r="I436" s="74">
        <f t="shared" si="75"/>
        <v>-418.5</v>
      </c>
    </row>
    <row r="437" spans="1:9" s="36" customFormat="1" ht="21.75" customHeight="1">
      <c r="A437" s="169" t="s">
        <v>220</v>
      </c>
      <c r="B437" s="107"/>
      <c r="C437" s="174" t="s">
        <v>152</v>
      </c>
      <c r="D437" s="174" t="s">
        <v>181</v>
      </c>
      <c r="E437" s="200" t="s">
        <v>695</v>
      </c>
      <c r="F437" s="202" t="s">
        <v>206</v>
      </c>
      <c r="G437" s="74">
        <f t="shared" si="75"/>
        <v>0</v>
      </c>
      <c r="H437" s="74">
        <f t="shared" si="75"/>
        <v>418.5</v>
      </c>
      <c r="I437" s="74">
        <f t="shared" si="75"/>
        <v>-418.5</v>
      </c>
    </row>
    <row r="438" spans="1:9" s="36" customFormat="1" ht="15.75">
      <c r="A438" s="170" t="s">
        <v>225</v>
      </c>
      <c r="B438" s="107"/>
      <c r="C438" s="174" t="s">
        <v>152</v>
      </c>
      <c r="D438" s="174" t="s">
        <v>181</v>
      </c>
      <c r="E438" s="200" t="s">
        <v>695</v>
      </c>
      <c r="F438" s="202" t="s">
        <v>226</v>
      </c>
      <c r="G438" s="74">
        <f>418.5-418.5</f>
        <v>0</v>
      </c>
      <c r="H438" s="74">
        <v>418.5</v>
      </c>
      <c r="I438" s="74">
        <f>G438-H438</f>
        <v>-418.5</v>
      </c>
    </row>
    <row r="439" spans="1:9" s="36" customFormat="1" ht="15.75">
      <c r="A439" s="145" t="s">
        <v>673</v>
      </c>
      <c r="B439" s="153"/>
      <c r="C439" s="153" t="s">
        <v>152</v>
      </c>
      <c r="D439" s="153" t="s">
        <v>181</v>
      </c>
      <c r="E439" s="206" t="s">
        <v>93</v>
      </c>
      <c r="F439" s="202"/>
      <c r="G439" s="78">
        <f aca="true" t="shared" si="76" ref="G439:I440">G440</f>
        <v>25</v>
      </c>
      <c r="H439" s="78">
        <f t="shared" si="76"/>
        <v>25</v>
      </c>
      <c r="I439" s="78">
        <f t="shared" si="76"/>
        <v>0</v>
      </c>
    </row>
    <row r="440" spans="1:9" s="36" customFormat="1" ht="15.75">
      <c r="A440" s="165" t="s">
        <v>128</v>
      </c>
      <c r="B440" s="111"/>
      <c r="C440" s="174" t="s">
        <v>152</v>
      </c>
      <c r="D440" s="174" t="s">
        <v>181</v>
      </c>
      <c r="E440" s="200" t="s">
        <v>94</v>
      </c>
      <c r="F440" s="202"/>
      <c r="G440" s="74">
        <f t="shared" si="76"/>
        <v>25</v>
      </c>
      <c r="H440" s="74">
        <f t="shared" si="76"/>
        <v>25</v>
      </c>
      <c r="I440" s="74">
        <f t="shared" si="76"/>
        <v>0</v>
      </c>
    </row>
    <row r="441" spans="1:9" s="36" customFormat="1" ht="15.75">
      <c r="A441" s="128" t="s">
        <v>220</v>
      </c>
      <c r="B441" s="111"/>
      <c r="C441" s="174" t="s">
        <v>152</v>
      </c>
      <c r="D441" s="174" t="s">
        <v>181</v>
      </c>
      <c r="E441" s="200" t="s">
        <v>94</v>
      </c>
      <c r="F441" s="202" t="s">
        <v>206</v>
      </c>
      <c r="G441" s="74">
        <f>SUM(G442:G442)</f>
        <v>25</v>
      </c>
      <c r="H441" s="74">
        <f>SUM(H442:H442)</f>
        <v>25</v>
      </c>
      <c r="I441" s="74">
        <f>SUM(I442:I442)</f>
        <v>0</v>
      </c>
    </row>
    <row r="442" spans="1:9" s="36" customFormat="1" ht="15.75">
      <c r="A442" s="135" t="s">
        <v>225</v>
      </c>
      <c r="B442" s="107"/>
      <c r="C442" s="174" t="s">
        <v>152</v>
      </c>
      <c r="D442" s="174" t="s">
        <v>181</v>
      </c>
      <c r="E442" s="200" t="s">
        <v>94</v>
      </c>
      <c r="F442" s="202" t="s">
        <v>226</v>
      </c>
      <c r="G442" s="74">
        <v>25</v>
      </c>
      <c r="H442" s="74">
        <v>25</v>
      </c>
      <c r="I442" s="74">
        <f>G442-H442</f>
        <v>0</v>
      </c>
    </row>
    <row r="443" spans="1:9" s="36" customFormat="1" ht="15.75">
      <c r="A443" s="106" t="s">
        <v>273</v>
      </c>
      <c r="B443" s="137"/>
      <c r="C443" s="173" t="s">
        <v>152</v>
      </c>
      <c r="D443" s="173" t="s">
        <v>152</v>
      </c>
      <c r="E443" s="201"/>
      <c r="F443" s="203"/>
      <c r="G443" s="98">
        <f>G444+G451</f>
        <v>4278.3</v>
      </c>
      <c r="H443" s="98">
        <f>H444+H451</f>
        <v>4283</v>
      </c>
      <c r="I443" s="98">
        <f>I444+I451</f>
        <v>-4.699999999999989</v>
      </c>
    </row>
    <row r="444" spans="1:9" s="36" customFormat="1" ht="17.25" customHeight="1">
      <c r="A444" s="160" t="s">
        <v>438</v>
      </c>
      <c r="B444" s="113"/>
      <c r="C444" s="173" t="s">
        <v>152</v>
      </c>
      <c r="D444" s="173" t="s">
        <v>152</v>
      </c>
      <c r="E444" s="202" t="s">
        <v>439</v>
      </c>
      <c r="F444" s="202"/>
      <c r="G444" s="78">
        <f>G445+G448</f>
        <v>312.3</v>
      </c>
      <c r="H444" s="78">
        <f>H445+H448</f>
        <v>312.3</v>
      </c>
      <c r="I444" s="78">
        <f>I445+I448</f>
        <v>0</v>
      </c>
    </row>
    <row r="445" spans="1:9" s="36" customFormat="1" ht="17.25" customHeight="1">
      <c r="A445" s="168" t="s">
        <v>115</v>
      </c>
      <c r="B445" s="113"/>
      <c r="C445" s="174" t="s">
        <v>152</v>
      </c>
      <c r="D445" s="174" t="s">
        <v>152</v>
      </c>
      <c r="E445" s="202" t="s">
        <v>464</v>
      </c>
      <c r="F445" s="202"/>
      <c r="G445" s="74">
        <f aca="true" t="shared" si="77" ref="G445:I446">G446</f>
        <v>40</v>
      </c>
      <c r="H445" s="74">
        <f t="shared" si="77"/>
        <v>40</v>
      </c>
      <c r="I445" s="74">
        <f t="shared" si="77"/>
        <v>0</v>
      </c>
    </row>
    <row r="446" spans="1:9" s="36" customFormat="1" ht="17.25" customHeight="1">
      <c r="A446" s="169" t="s">
        <v>220</v>
      </c>
      <c r="B446" s="113"/>
      <c r="C446" s="174" t="s">
        <v>152</v>
      </c>
      <c r="D446" s="174" t="s">
        <v>152</v>
      </c>
      <c r="E446" s="202" t="s">
        <v>464</v>
      </c>
      <c r="F446" s="202" t="s">
        <v>206</v>
      </c>
      <c r="G446" s="74">
        <f t="shared" si="77"/>
        <v>40</v>
      </c>
      <c r="H446" s="74">
        <f t="shared" si="77"/>
        <v>40</v>
      </c>
      <c r="I446" s="74">
        <f t="shared" si="77"/>
        <v>0</v>
      </c>
    </row>
    <row r="447" spans="1:9" s="36" customFormat="1" ht="17.25" customHeight="1">
      <c r="A447" s="170" t="s">
        <v>221</v>
      </c>
      <c r="B447" s="113"/>
      <c r="C447" s="174" t="s">
        <v>152</v>
      </c>
      <c r="D447" s="174" t="s">
        <v>152</v>
      </c>
      <c r="E447" s="202" t="s">
        <v>464</v>
      </c>
      <c r="F447" s="202" t="s">
        <v>222</v>
      </c>
      <c r="G447" s="74">
        <v>40</v>
      </c>
      <c r="H447" s="74">
        <v>40</v>
      </c>
      <c r="I447" s="74">
        <f>G447-H447</f>
        <v>0</v>
      </c>
    </row>
    <row r="448" spans="1:9" s="36" customFormat="1" ht="15.75">
      <c r="A448" s="112" t="s">
        <v>380</v>
      </c>
      <c r="B448" s="113"/>
      <c r="C448" s="174" t="s">
        <v>152</v>
      </c>
      <c r="D448" s="174" t="s">
        <v>152</v>
      </c>
      <c r="E448" s="202" t="s">
        <v>487</v>
      </c>
      <c r="F448" s="202"/>
      <c r="G448" s="74">
        <f>SUM(G449)</f>
        <v>272.3</v>
      </c>
      <c r="H448" s="74">
        <f>SUM(H449)</f>
        <v>272.3</v>
      </c>
      <c r="I448" s="74">
        <f>SUM(I449)</f>
        <v>0</v>
      </c>
    </row>
    <row r="449" spans="1:9" s="36" customFormat="1" ht="15.75">
      <c r="A449" s="128" t="s">
        <v>220</v>
      </c>
      <c r="B449" s="111"/>
      <c r="C449" s="174" t="s">
        <v>152</v>
      </c>
      <c r="D449" s="174" t="s">
        <v>152</v>
      </c>
      <c r="E449" s="202" t="s">
        <v>487</v>
      </c>
      <c r="F449" s="202" t="s">
        <v>206</v>
      </c>
      <c r="G449" s="74">
        <f>G450</f>
        <v>272.3</v>
      </c>
      <c r="H449" s="74">
        <f>H450</f>
        <v>272.3</v>
      </c>
      <c r="I449" s="74">
        <f>I450</f>
        <v>0</v>
      </c>
    </row>
    <row r="450" spans="1:9" s="36" customFormat="1" ht="15.75">
      <c r="A450" s="135" t="s">
        <v>221</v>
      </c>
      <c r="B450" s="113"/>
      <c r="C450" s="174" t="s">
        <v>152</v>
      </c>
      <c r="D450" s="174" t="s">
        <v>152</v>
      </c>
      <c r="E450" s="202" t="s">
        <v>487</v>
      </c>
      <c r="F450" s="202" t="s">
        <v>222</v>
      </c>
      <c r="G450" s="74">
        <v>272.3</v>
      </c>
      <c r="H450" s="74">
        <v>272.3</v>
      </c>
      <c r="I450" s="74">
        <f>G450-H450</f>
        <v>0</v>
      </c>
    </row>
    <row r="451" spans="1:9" s="36" customFormat="1" ht="18.75" customHeight="1">
      <c r="A451" s="134" t="s">
        <v>281</v>
      </c>
      <c r="B451" s="107"/>
      <c r="C451" s="173" t="s">
        <v>152</v>
      </c>
      <c r="D451" s="173" t="s">
        <v>152</v>
      </c>
      <c r="E451" s="201" t="s">
        <v>276</v>
      </c>
      <c r="F451" s="203"/>
      <c r="G451" s="98">
        <f>G452+G460</f>
        <v>3966</v>
      </c>
      <c r="H451" s="98">
        <f>H452+H460</f>
        <v>3970.7000000000003</v>
      </c>
      <c r="I451" s="98">
        <f>I452+I460</f>
        <v>-4.699999999999989</v>
      </c>
    </row>
    <row r="452" spans="1:11" s="23" customFormat="1" ht="19.5" customHeight="1">
      <c r="A452" s="166" t="s">
        <v>232</v>
      </c>
      <c r="B452" s="107"/>
      <c r="C452" s="173" t="s">
        <v>152</v>
      </c>
      <c r="D452" s="173" t="s">
        <v>152</v>
      </c>
      <c r="E452" s="201" t="s">
        <v>277</v>
      </c>
      <c r="F452" s="203"/>
      <c r="G452" s="78">
        <f>G453+G457</f>
        <v>3015.1</v>
      </c>
      <c r="H452" s="78">
        <f>H453+H457</f>
        <v>3019.8</v>
      </c>
      <c r="I452" s="78">
        <f>I453+I457</f>
        <v>-4.699999999999989</v>
      </c>
      <c r="J452" s="36"/>
      <c r="K452" s="36"/>
    </row>
    <row r="453" spans="1:11" s="23" customFormat="1" ht="15.75">
      <c r="A453" s="112" t="s">
        <v>129</v>
      </c>
      <c r="B453" s="107"/>
      <c r="C453" s="174" t="s">
        <v>152</v>
      </c>
      <c r="D453" s="174" t="s">
        <v>152</v>
      </c>
      <c r="E453" s="200" t="s">
        <v>278</v>
      </c>
      <c r="F453" s="202"/>
      <c r="G453" s="74">
        <f>G454</f>
        <v>204.70000000000002</v>
      </c>
      <c r="H453" s="74">
        <f>H454</f>
        <v>209.4</v>
      </c>
      <c r="I453" s="74">
        <f>I454</f>
        <v>-4.699999999999989</v>
      </c>
      <c r="J453" s="36"/>
      <c r="K453" s="36"/>
    </row>
    <row r="454" spans="1:11" s="23" customFormat="1" ht="15.75">
      <c r="A454" s="128" t="s">
        <v>220</v>
      </c>
      <c r="B454" s="107"/>
      <c r="C454" s="174" t="s">
        <v>152</v>
      </c>
      <c r="D454" s="174" t="s">
        <v>152</v>
      </c>
      <c r="E454" s="200" t="s">
        <v>278</v>
      </c>
      <c r="F454" s="202" t="s">
        <v>206</v>
      </c>
      <c r="G454" s="74">
        <f>G455+G456</f>
        <v>204.70000000000002</v>
      </c>
      <c r="H454" s="74">
        <f>H455+H456</f>
        <v>209.4</v>
      </c>
      <c r="I454" s="74">
        <f>I455+I456</f>
        <v>-4.699999999999989</v>
      </c>
      <c r="J454" s="36"/>
      <c r="K454" s="36"/>
    </row>
    <row r="455" spans="1:11" s="23" customFormat="1" ht="18" customHeight="1">
      <c r="A455" s="135" t="s">
        <v>221</v>
      </c>
      <c r="B455" s="107"/>
      <c r="C455" s="174" t="s">
        <v>152</v>
      </c>
      <c r="D455" s="174" t="s">
        <v>152</v>
      </c>
      <c r="E455" s="200" t="s">
        <v>278</v>
      </c>
      <c r="F455" s="202" t="s">
        <v>222</v>
      </c>
      <c r="G455" s="74">
        <f>205.1-4.7</f>
        <v>200.4</v>
      </c>
      <c r="H455" s="74">
        <v>205.1</v>
      </c>
      <c r="I455" s="74">
        <f>G455-H455</f>
        <v>-4.699999999999989</v>
      </c>
      <c r="J455" s="36"/>
      <c r="K455" s="36"/>
    </row>
    <row r="456" spans="1:11" s="23" customFormat="1" ht="18" customHeight="1">
      <c r="A456" s="135" t="s">
        <v>227</v>
      </c>
      <c r="B456" s="107"/>
      <c r="C456" s="174" t="s">
        <v>152</v>
      </c>
      <c r="D456" s="174" t="s">
        <v>152</v>
      </c>
      <c r="E456" s="200" t="s">
        <v>278</v>
      </c>
      <c r="F456" s="202" t="s">
        <v>226</v>
      </c>
      <c r="G456" s="74">
        <v>4.3</v>
      </c>
      <c r="H456" s="74">
        <v>4.3</v>
      </c>
      <c r="I456" s="74">
        <f>G456-H456</f>
        <v>0</v>
      </c>
      <c r="J456" s="36"/>
      <c r="K456" s="36"/>
    </row>
    <row r="457" spans="1:11" s="23" customFormat="1" ht="26.25">
      <c r="A457" s="109" t="s">
        <v>332</v>
      </c>
      <c r="B457" s="107"/>
      <c r="C457" s="174" t="s">
        <v>152</v>
      </c>
      <c r="D457" s="174" t="s">
        <v>152</v>
      </c>
      <c r="E457" s="200" t="s">
        <v>283</v>
      </c>
      <c r="F457" s="202"/>
      <c r="G457" s="74">
        <f>G458</f>
        <v>2810.4</v>
      </c>
      <c r="H457" s="74">
        <f>H458</f>
        <v>2810.4</v>
      </c>
      <c r="I457" s="74">
        <f>I458</f>
        <v>0</v>
      </c>
      <c r="J457" s="36"/>
      <c r="K457" s="36"/>
    </row>
    <row r="458" spans="1:11" s="23" customFormat="1" ht="15.75">
      <c r="A458" s="128" t="s">
        <v>220</v>
      </c>
      <c r="B458" s="107"/>
      <c r="C458" s="174" t="s">
        <v>152</v>
      </c>
      <c r="D458" s="174" t="s">
        <v>152</v>
      </c>
      <c r="E458" s="200" t="s">
        <v>283</v>
      </c>
      <c r="F458" s="202" t="s">
        <v>206</v>
      </c>
      <c r="G458" s="74">
        <f>SUM(G459:G459)</f>
        <v>2810.4</v>
      </c>
      <c r="H458" s="74">
        <f>SUM(H459:H459)</f>
        <v>2810.4</v>
      </c>
      <c r="I458" s="74">
        <f>SUM(I459:I459)</f>
        <v>0</v>
      </c>
      <c r="J458" s="36"/>
      <c r="K458" s="36"/>
    </row>
    <row r="459" spans="1:9" s="36" customFormat="1" ht="15.75">
      <c r="A459" s="135" t="s">
        <v>221</v>
      </c>
      <c r="B459" s="107"/>
      <c r="C459" s="174" t="s">
        <v>152</v>
      </c>
      <c r="D459" s="174" t="s">
        <v>152</v>
      </c>
      <c r="E459" s="200" t="s">
        <v>283</v>
      </c>
      <c r="F459" s="202" t="s">
        <v>222</v>
      </c>
      <c r="G459" s="74">
        <v>2810.4</v>
      </c>
      <c r="H459" s="74">
        <v>2810.4</v>
      </c>
      <c r="I459" s="74">
        <f>G459-H459</f>
        <v>0</v>
      </c>
    </row>
    <row r="460" spans="1:9" s="36" customFormat="1" ht="15.75">
      <c r="A460" s="134" t="s">
        <v>231</v>
      </c>
      <c r="B460" s="107"/>
      <c r="C460" s="173" t="s">
        <v>152</v>
      </c>
      <c r="D460" s="173" t="s">
        <v>152</v>
      </c>
      <c r="E460" s="201" t="s">
        <v>279</v>
      </c>
      <c r="F460" s="203"/>
      <c r="G460" s="98">
        <f>G461+G464+G467</f>
        <v>950.9</v>
      </c>
      <c r="H460" s="98">
        <f>H461+H464+H467</f>
        <v>950.9</v>
      </c>
      <c r="I460" s="98">
        <f>I461+I464+I467</f>
        <v>0</v>
      </c>
    </row>
    <row r="461" spans="1:9" s="36" customFormat="1" ht="15.75">
      <c r="A461" s="148" t="s">
        <v>323</v>
      </c>
      <c r="B461" s="111"/>
      <c r="C461" s="174" t="s">
        <v>152</v>
      </c>
      <c r="D461" s="174" t="s">
        <v>152</v>
      </c>
      <c r="E461" s="200" t="s">
        <v>347</v>
      </c>
      <c r="F461" s="202"/>
      <c r="G461" s="74">
        <f aca="true" t="shared" si="78" ref="G461:I462">G462</f>
        <v>500</v>
      </c>
      <c r="H461" s="74">
        <f t="shared" si="78"/>
        <v>500</v>
      </c>
      <c r="I461" s="74">
        <f t="shared" si="78"/>
        <v>0</v>
      </c>
    </row>
    <row r="462" spans="1:9" s="36" customFormat="1" ht="15.75">
      <c r="A462" s="147" t="s">
        <v>220</v>
      </c>
      <c r="B462" s="111"/>
      <c r="C462" s="174" t="s">
        <v>152</v>
      </c>
      <c r="D462" s="174" t="s">
        <v>152</v>
      </c>
      <c r="E462" s="200" t="s">
        <v>347</v>
      </c>
      <c r="F462" s="202" t="s">
        <v>206</v>
      </c>
      <c r="G462" s="74">
        <f t="shared" si="78"/>
        <v>500</v>
      </c>
      <c r="H462" s="74">
        <f t="shared" si="78"/>
        <v>500</v>
      </c>
      <c r="I462" s="74">
        <f t="shared" si="78"/>
        <v>0</v>
      </c>
    </row>
    <row r="463" spans="1:9" s="36" customFormat="1" ht="15.75">
      <c r="A463" s="148" t="s">
        <v>227</v>
      </c>
      <c r="B463" s="111"/>
      <c r="C463" s="174" t="s">
        <v>152</v>
      </c>
      <c r="D463" s="174" t="s">
        <v>152</v>
      </c>
      <c r="E463" s="200" t="s">
        <v>347</v>
      </c>
      <c r="F463" s="202" t="s">
        <v>226</v>
      </c>
      <c r="G463" s="74">
        <v>500</v>
      </c>
      <c r="H463" s="74">
        <v>500</v>
      </c>
      <c r="I463" s="74">
        <f>G463-H463</f>
        <v>0</v>
      </c>
    </row>
    <row r="464" spans="1:9" s="36" customFormat="1" ht="15.75">
      <c r="A464" s="144" t="s">
        <v>325</v>
      </c>
      <c r="B464" s="111"/>
      <c r="C464" s="174" t="s">
        <v>152</v>
      </c>
      <c r="D464" s="174" t="s">
        <v>152</v>
      </c>
      <c r="E464" s="200" t="s">
        <v>346</v>
      </c>
      <c r="F464" s="202"/>
      <c r="G464" s="74">
        <f aca="true" t="shared" si="79" ref="G464:I465">G465</f>
        <v>350.9</v>
      </c>
      <c r="H464" s="74">
        <f t="shared" si="79"/>
        <v>350.9</v>
      </c>
      <c r="I464" s="74">
        <f t="shared" si="79"/>
        <v>0</v>
      </c>
    </row>
    <row r="465" spans="1:9" s="36" customFormat="1" ht="15.75">
      <c r="A465" s="128" t="s">
        <v>220</v>
      </c>
      <c r="B465" s="111"/>
      <c r="C465" s="174" t="s">
        <v>152</v>
      </c>
      <c r="D465" s="174" t="s">
        <v>152</v>
      </c>
      <c r="E465" s="200" t="s">
        <v>346</v>
      </c>
      <c r="F465" s="202" t="s">
        <v>206</v>
      </c>
      <c r="G465" s="74">
        <f t="shared" si="79"/>
        <v>350.9</v>
      </c>
      <c r="H465" s="74">
        <f t="shared" si="79"/>
        <v>350.9</v>
      </c>
      <c r="I465" s="74">
        <f t="shared" si="79"/>
        <v>0</v>
      </c>
    </row>
    <row r="466" spans="1:9" s="36" customFormat="1" ht="15.75">
      <c r="A466" s="148" t="s">
        <v>227</v>
      </c>
      <c r="B466" s="111"/>
      <c r="C466" s="174" t="s">
        <v>152</v>
      </c>
      <c r="D466" s="174" t="s">
        <v>152</v>
      </c>
      <c r="E466" s="200" t="s">
        <v>346</v>
      </c>
      <c r="F466" s="202" t="s">
        <v>226</v>
      </c>
      <c r="G466" s="74">
        <v>350.9</v>
      </c>
      <c r="H466" s="74">
        <v>350.9</v>
      </c>
      <c r="I466" s="74">
        <f>G466-H466</f>
        <v>0</v>
      </c>
    </row>
    <row r="467" spans="1:9" s="36" customFormat="1" ht="15.75">
      <c r="A467" s="144" t="s">
        <v>326</v>
      </c>
      <c r="B467" s="111"/>
      <c r="C467" s="174" t="s">
        <v>152</v>
      </c>
      <c r="D467" s="174" t="s">
        <v>152</v>
      </c>
      <c r="E467" s="200" t="s">
        <v>475</v>
      </c>
      <c r="F467" s="202"/>
      <c r="G467" s="74">
        <f aca="true" t="shared" si="80" ref="G467:I468">G468</f>
        <v>100</v>
      </c>
      <c r="H467" s="74">
        <f t="shared" si="80"/>
        <v>100</v>
      </c>
      <c r="I467" s="74">
        <f t="shared" si="80"/>
        <v>0</v>
      </c>
    </row>
    <row r="468" spans="1:9" s="36" customFormat="1" ht="15.75">
      <c r="A468" s="128" t="s">
        <v>220</v>
      </c>
      <c r="B468" s="111"/>
      <c r="C468" s="174" t="s">
        <v>152</v>
      </c>
      <c r="D468" s="174" t="s">
        <v>152</v>
      </c>
      <c r="E468" s="200" t="s">
        <v>475</v>
      </c>
      <c r="F468" s="202" t="s">
        <v>206</v>
      </c>
      <c r="G468" s="74">
        <f t="shared" si="80"/>
        <v>100</v>
      </c>
      <c r="H468" s="74">
        <f t="shared" si="80"/>
        <v>100</v>
      </c>
      <c r="I468" s="74">
        <f t="shared" si="80"/>
        <v>0</v>
      </c>
    </row>
    <row r="469" spans="1:9" s="36" customFormat="1" ht="15.75">
      <c r="A469" s="148" t="s">
        <v>227</v>
      </c>
      <c r="B469" s="111"/>
      <c r="C469" s="174" t="s">
        <v>152</v>
      </c>
      <c r="D469" s="174" t="s">
        <v>152</v>
      </c>
      <c r="E469" s="200" t="s">
        <v>475</v>
      </c>
      <c r="F469" s="202" t="s">
        <v>226</v>
      </c>
      <c r="G469" s="74">
        <v>100</v>
      </c>
      <c r="H469" s="74">
        <v>100</v>
      </c>
      <c r="I469" s="74">
        <f>G469-H469</f>
        <v>0</v>
      </c>
    </row>
    <row r="470" spans="1:9" s="36" customFormat="1" ht="15.75">
      <c r="A470" s="106" t="s">
        <v>148</v>
      </c>
      <c r="B470" s="115"/>
      <c r="C470" s="173" t="s">
        <v>152</v>
      </c>
      <c r="D470" s="173" t="s">
        <v>194</v>
      </c>
      <c r="E470" s="201"/>
      <c r="F470" s="203"/>
      <c r="G470" s="98">
        <f aca="true" t="shared" si="81" ref="G470:I471">G471</f>
        <v>12656.099999999999</v>
      </c>
      <c r="H470" s="98">
        <f t="shared" si="81"/>
        <v>12656.099999999999</v>
      </c>
      <c r="I470" s="98">
        <f t="shared" si="81"/>
        <v>0</v>
      </c>
    </row>
    <row r="471" spans="1:9" s="36" customFormat="1" ht="15.75">
      <c r="A471" s="145" t="s">
        <v>443</v>
      </c>
      <c r="B471" s="115"/>
      <c r="C471" s="173" t="s">
        <v>152</v>
      </c>
      <c r="D471" s="173" t="s">
        <v>194</v>
      </c>
      <c r="E471" s="201" t="s">
        <v>13</v>
      </c>
      <c r="F471" s="203"/>
      <c r="G471" s="98">
        <f t="shared" si="81"/>
        <v>12656.099999999999</v>
      </c>
      <c r="H471" s="98">
        <f t="shared" si="81"/>
        <v>12656.099999999999</v>
      </c>
      <c r="I471" s="98">
        <f t="shared" si="81"/>
        <v>0</v>
      </c>
    </row>
    <row r="472" spans="1:9" s="36" customFormat="1" ht="15.75">
      <c r="A472" s="106" t="s">
        <v>495</v>
      </c>
      <c r="B472" s="115"/>
      <c r="C472" s="173" t="s">
        <v>152</v>
      </c>
      <c r="D472" s="173" t="s">
        <v>194</v>
      </c>
      <c r="E472" s="201" t="s">
        <v>494</v>
      </c>
      <c r="F472" s="203"/>
      <c r="G472" s="98">
        <f>G473+G478</f>
        <v>12656.099999999999</v>
      </c>
      <c r="H472" s="98">
        <f>H473+H478</f>
        <v>12656.099999999999</v>
      </c>
      <c r="I472" s="98">
        <f>I473+I478</f>
        <v>0</v>
      </c>
    </row>
    <row r="473" spans="1:9" s="36" customFormat="1" ht="15.75">
      <c r="A473" s="144" t="s">
        <v>130</v>
      </c>
      <c r="B473" s="111"/>
      <c r="C473" s="174" t="s">
        <v>152</v>
      </c>
      <c r="D473" s="174" t="s">
        <v>194</v>
      </c>
      <c r="E473" s="200" t="s">
        <v>493</v>
      </c>
      <c r="F473" s="202"/>
      <c r="G473" s="74">
        <f>G474+G476</f>
        <v>12326.099999999999</v>
      </c>
      <c r="H473" s="74">
        <f>H474+H476</f>
        <v>12346.099999999999</v>
      </c>
      <c r="I473" s="74">
        <f>I474+I476</f>
        <v>-20</v>
      </c>
    </row>
    <row r="474" spans="1:9" s="36" customFormat="1" ht="25.5">
      <c r="A474" s="110" t="s">
        <v>139</v>
      </c>
      <c r="B474" s="111"/>
      <c r="C474" s="174" t="s">
        <v>152</v>
      </c>
      <c r="D474" s="174" t="s">
        <v>194</v>
      </c>
      <c r="E474" s="200" t="s">
        <v>493</v>
      </c>
      <c r="F474" s="202" t="s">
        <v>228</v>
      </c>
      <c r="G474" s="74">
        <f>G475</f>
        <v>11575.199999999999</v>
      </c>
      <c r="H474" s="74">
        <f>H475</f>
        <v>11575.199999999999</v>
      </c>
      <c r="I474" s="74">
        <f>I475</f>
        <v>0</v>
      </c>
    </row>
    <row r="475" spans="1:9" s="36" customFormat="1" ht="15.75">
      <c r="A475" s="171" t="s">
        <v>223</v>
      </c>
      <c r="B475" s="111"/>
      <c r="C475" s="174" t="s">
        <v>152</v>
      </c>
      <c r="D475" s="174" t="s">
        <v>194</v>
      </c>
      <c r="E475" s="200" t="s">
        <v>493</v>
      </c>
      <c r="F475" s="202" t="s">
        <v>224</v>
      </c>
      <c r="G475" s="74">
        <f>8807.8+170+2597.4</f>
        <v>11575.199999999999</v>
      </c>
      <c r="H475" s="74">
        <f>8807.8+170+2597.4</f>
        <v>11575.199999999999</v>
      </c>
      <c r="I475" s="74">
        <f>G475-H475</f>
        <v>0</v>
      </c>
    </row>
    <row r="476" spans="1:9" s="36" customFormat="1" ht="15.75">
      <c r="A476" s="110" t="s">
        <v>264</v>
      </c>
      <c r="B476" s="111"/>
      <c r="C476" s="174" t="s">
        <v>152</v>
      </c>
      <c r="D476" s="174" t="s">
        <v>194</v>
      </c>
      <c r="E476" s="200" t="s">
        <v>493</v>
      </c>
      <c r="F476" s="202" t="s">
        <v>216</v>
      </c>
      <c r="G476" s="74">
        <f>G477</f>
        <v>750.9</v>
      </c>
      <c r="H476" s="74">
        <f>H477</f>
        <v>770.9</v>
      </c>
      <c r="I476" s="74">
        <f>I477</f>
        <v>-20</v>
      </c>
    </row>
    <row r="477" spans="1:9" s="36" customFormat="1" ht="15.75">
      <c r="A477" s="128" t="s">
        <v>217</v>
      </c>
      <c r="B477" s="111"/>
      <c r="C477" s="174" t="s">
        <v>152</v>
      </c>
      <c r="D477" s="174" t="s">
        <v>194</v>
      </c>
      <c r="E477" s="200" t="s">
        <v>493</v>
      </c>
      <c r="F477" s="202" t="s">
        <v>215</v>
      </c>
      <c r="G477" s="74">
        <v>750.9</v>
      </c>
      <c r="H477" s="74">
        <v>770.9</v>
      </c>
      <c r="I477" s="74">
        <f>G477-H477</f>
        <v>-20</v>
      </c>
    </row>
    <row r="478" spans="1:9" s="36" customFormat="1" ht="15.75">
      <c r="A478" s="172" t="s">
        <v>126</v>
      </c>
      <c r="B478" s="111"/>
      <c r="C478" s="174" t="s">
        <v>152</v>
      </c>
      <c r="D478" s="174" t="s">
        <v>194</v>
      </c>
      <c r="E478" s="200" t="s">
        <v>493</v>
      </c>
      <c r="F478" s="202"/>
      <c r="G478" s="99">
        <f>G479+G481</f>
        <v>330</v>
      </c>
      <c r="H478" s="99">
        <f>H479+H481</f>
        <v>310</v>
      </c>
      <c r="I478" s="99">
        <f>I479+I481</f>
        <v>20</v>
      </c>
    </row>
    <row r="479" spans="1:9" s="36" customFormat="1" ht="25.5">
      <c r="A479" s="110" t="s">
        <v>139</v>
      </c>
      <c r="B479" s="111"/>
      <c r="C479" s="174" t="s">
        <v>152</v>
      </c>
      <c r="D479" s="174" t="s">
        <v>194</v>
      </c>
      <c r="E479" s="200" t="s">
        <v>502</v>
      </c>
      <c r="F479" s="202" t="s">
        <v>228</v>
      </c>
      <c r="G479" s="99">
        <f>G480</f>
        <v>240</v>
      </c>
      <c r="H479" s="99">
        <f>H480</f>
        <v>220</v>
      </c>
      <c r="I479" s="99">
        <f>I480</f>
        <v>20</v>
      </c>
    </row>
    <row r="480" spans="1:9" s="36" customFormat="1" ht="15.75">
      <c r="A480" s="171" t="s">
        <v>223</v>
      </c>
      <c r="B480" s="111"/>
      <c r="C480" s="174" t="s">
        <v>152</v>
      </c>
      <c r="D480" s="174" t="s">
        <v>194</v>
      </c>
      <c r="E480" s="200" t="s">
        <v>502</v>
      </c>
      <c r="F480" s="202" t="s">
        <v>224</v>
      </c>
      <c r="G480" s="99">
        <v>240</v>
      </c>
      <c r="H480" s="99">
        <f>200+20</f>
        <v>220</v>
      </c>
      <c r="I480" s="74">
        <f>G480-H480</f>
        <v>20</v>
      </c>
    </row>
    <row r="481" spans="1:9" s="36" customFormat="1" ht="15.75">
      <c r="A481" s="110" t="s">
        <v>264</v>
      </c>
      <c r="B481" s="111"/>
      <c r="C481" s="174" t="s">
        <v>152</v>
      </c>
      <c r="D481" s="174" t="s">
        <v>194</v>
      </c>
      <c r="E481" s="200" t="s">
        <v>502</v>
      </c>
      <c r="F481" s="202" t="s">
        <v>216</v>
      </c>
      <c r="G481" s="99">
        <f>G482</f>
        <v>90</v>
      </c>
      <c r="H481" s="99">
        <f>H482</f>
        <v>90</v>
      </c>
      <c r="I481" s="99">
        <f>I482</f>
        <v>0</v>
      </c>
    </row>
    <row r="482" spans="1:9" s="36" customFormat="1" ht="15.75">
      <c r="A482" s="144" t="s">
        <v>217</v>
      </c>
      <c r="B482" s="111"/>
      <c r="C482" s="174" t="s">
        <v>152</v>
      </c>
      <c r="D482" s="174" t="s">
        <v>194</v>
      </c>
      <c r="E482" s="200" t="s">
        <v>502</v>
      </c>
      <c r="F482" s="202" t="s">
        <v>215</v>
      </c>
      <c r="G482" s="99">
        <f>150-40-20</f>
        <v>90</v>
      </c>
      <c r="H482" s="99">
        <f>150-40-20</f>
        <v>90</v>
      </c>
      <c r="I482" s="74">
        <f>G482-H482</f>
        <v>0</v>
      </c>
    </row>
    <row r="483" spans="1:9" s="36" customFormat="1" ht="15.75">
      <c r="A483" s="106" t="s">
        <v>178</v>
      </c>
      <c r="B483" s="111"/>
      <c r="C483" s="173" t="s">
        <v>150</v>
      </c>
      <c r="D483" s="174"/>
      <c r="E483" s="200"/>
      <c r="F483" s="202"/>
      <c r="G483" s="78">
        <f aca="true" t="shared" si="82" ref="G483:H488">G484</f>
        <v>29157.300000000003</v>
      </c>
      <c r="H483" s="78">
        <f t="shared" si="82"/>
        <v>29387.300000000003</v>
      </c>
      <c r="I483" s="78">
        <f aca="true" t="shared" si="83" ref="I483:I488">I484</f>
        <v>-229.99999999999977</v>
      </c>
    </row>
    <row r="484" spans="1:9" s="36" customFormat="1" ht="15.75">
      <c r="A484" s="106" t="s">
        <v>182</v>
      </c>
      <c r="B484" s="173"/>
      <c r="C484" s="173" t="s">
        <v>150</v>
      </c>
      <c r="D484" s="173" t="s">
        <v>196</v>
      </c>
      <c r="E484" s="201"/>
      <c r="F484" s="203"/>
      <c r="G484" s="78">
        <f>G485</f>
        <v>29157.300000000003</v>
      </c>
      <c r="H484" s="78">
        <f>H485</f>
        <v>29387.300000000003</v>
      </c>
      <c r="I484" s="78">
        <f>I485</f>
        <v>-229.99999999999977</v>
      </c>
    </row>
    <row r="485" spans="1:9" s="36" customFormat="1" ht="15.75">
      <c r="A485" s="106" t="s">
        <v>443</v>
      </c>
      <c r="B485" s="115"/>
      <c r="C485" s="173" t="s">
        <v>150</v>
      </c>
      <c r="D485" s="173" t="s">
        <v>196</v>
      </c>
      <c r="E485" s="201" t="s">
        <v>13</v>
      </c>
      <c r="F485" s="203"/>
      <c r="G485" s="78">
        <f>G486+G490</f>
        <v>29157.300000000003</v>
      </c>
      <c r="H485" s="78">
        <f>H486+H490</f>
        <v>29387.300000000003</v>
      </c>
      <c r="I485" s="78">
        <f>I486+I490</f>
        <v>-229.99999999999977</v>
      </c>
    </row>
    <row r="486" spans="1:9" s="36" customFormat="1" ht="15.75">
      <c r="A486" s="145" t="s">
        <v>440</v>
      </c>
      <c r="B486" s="173"/>
      <c r="C486" s="173" t="s">
        <v>150</v>
      </c>
      <c r="D486" s="173" t="s">
        <v>196</v>
      </c>
      <c r="E486" s="201" t="s">
        <v>14</v>
      </c>
      <c r="F486" s="203"/>
      <c r="G486" s="78">
        <f t="shared" si="82"/>
        <v>9099</v>
      </c>
      <c r="H486" s="78">
        <f t="shared" si="82"/>
        <v>9098.9</v>
      </c>
      <c r="I486" s="78">
        <f t="shared" si="83"/>
        <v>0.1000000000003638</v>
      </c>
    </row>
    <row r="487" spans="1:9" s="36" customFormat="1" ht="25.5">
      <c r="A487" s="144" t="s">
        <v>296</v>
      </c>
      <c r="B487" s="174"/>
      <c r="C487" s="174" t="s">
        <v>150</v>
      </c>
      <c r="D487" s="174" t="s">
        <v>196</v>
      </c>
      <c r="E487" s="200" t="s">
        <v>91</v>
      </c>
      <c r="F487" s="202"/>
      <c r="G487" s="74">
        <f t="shared" si="82"/>
        <v>9099</v>
      </c>
      <c r="H487" s="74">
        <f t="shared" si="82"/>
        <v>9098.9</v>
      </c>
      <c r="I487" s="74">
        <f t="shared" si="83"/>
        <v>0.1000000000003638</v>
      </c>
    </row>
    <row r="488" spans="1:9" s="36" customFormat="1" ht="15.75">
      <c r="A488" s="128" t="s">
        <v>220</v>
      </c>
      <c r="B488" s="111"/>
      <c r="C488" s="174" t="s">
        <v>150</v>
      </c>
      <c r="D488" s="174" t="s">
        <v>196</v>
      </c>
      <c r="E488" s="200" t="s">
        <v>91</v>
      </c>
      <c r="F488" s="202" t="s">
        <v>206</v>
      </c>
      <c r="G488" s="74">
        <f t="shared" si="82"/>
        <v>9099</v>
      </c>
      <c r="H488" s="74">
        <f t="shared" si="82"/>
        <v>9098.9</v>
      </c>
      <c r="I488" s="74">
        <f t="shared" si="83"/>
        <v>0.1000000000003638</v>
      </c>
    </row>
    <row r="489" spans="1:9" s="36" customFormat="1" ht="15.75">
      <c r="A489" s="135" t="s">
        <v>221</v>
      </c>
      <c r="B489" s="111"/>
      <c r="C489" s="174" t="s">
        <v>150</v>
      </c>
      <c r="D489" s="174" t="s">
        <v>196</v>
      </c>
      <c r="E489" s="200" t="s">
        <v>91</v>
      </c>
      <c r="F489" s="202" t="s">
        <v>222</v>
      </c>
      <c r="G489" s="74">
        <v>9099</v>
      </c>
      <c r="H489" s="74">
        <f>9144.4-433.9+388.4</f>
        <v>9098.9</v>
      </c>
      <c r="I489" s="74">
        <f>G489-H489</f>
        <v>0.1000000000003638</v>
      </c>
    </row>
    <row r="490" spans="1:9" s="36" customFormat="1" ht="15.75">
      <c r="A490" s="145" t="s">
        <v>441</v>
      </c>
      <c r="B490" s="123"/>
      <c r="C490" s="152" t="s">
        <v>150</v>
      </c>
      <c r="D490" s="152" t="s">
        <v>196</v>
      </c>
      <c r="E490" s="206" t="s">
        <v>31</v>
      </c>
      <c r="F490" s="208"/>
      <c r="G490" s="78">
        <f>G491+G503+G497+G500+G494</f>
        <v>20058.300000000003</v>
      </c>
      <c r="H490" s="78">
        <f>H491+H503+H497+H500+H494</f>
        <v>20288.4</v>
      </c>
      <c r="I490" s="362">
        <f>I491+I503+I497+I500+I494</f>
        <v>-230.10000000000014</v>
      </c>
    </row>
    <row r="491" spans="1:9" s="36" customFormat="1" ht="15.75">
      <c r="A491" s="130" t="s">
        <v>309</v>
      </c>
      <c r="B491" s="149"/>
      <c r="C491" s="152" t="s">
        <v>150</v>
      </c>
      <c r="D491" s="152" t="s">
        <v>196</v>
      </c>
      <c r="E491" s="210" t="s">
        <v>310</v>
      </c>
      <c r="F491" s="208"/>
      <c r="G491" s="74">
        <f aca="true" t="shared" si="84" ref="G491:I495">G492</f>
        <v>1969.2</v>
      </c>
      <c r="H491" s="74">
        <f t="shared" si="84"/>
        <v>2199.3</v>
      </c>
      <c r="I491" s="74">
        <f t="shared" si="84"/>
        <v>-230.10000000000014</v>
      </c>
    </row>
    <row r="492" spans="1:9" s="36" customFormat="1" ht="15.75">
      <c r="A492" s="147" t="s">
        <v>220</v>
      </c>
      <c r="B492" s="149"/>
      <c r="C492" s="152" t="s">
        <v>150</v>
      </c>
      <c r="D492" s="152" t="s">
        <v>196</v>
      </c>
      <c r="E492" s="210" t="s">
        <v>310</v>
      </c>
      <c r="F492" s="208" t="s">
        <v>206</v>
      </c>
      <c r="G492" s="74">
        <f t="shared" si="84"/>
        <v>1969.2</v>
      </c>
      <c r="H492" s="74">
        <f t="shared" si="84"/>
        <v>2199.3</v>
      </c>
      <c r="I492" s="74">
        <f t="shared" si="84"/>
        <v>-230.10000000000014</v>
      </c>
    </row>
    <row r="493" spans="1:9" s="36" customFormat="1" ht="15.75">
      <c r="A493" s="148" t="s">
        <v>221</v>
      </c>
      <c r="B493" s="149"/>
      <c r="C493" s="152" t="s">
        <v>150</v>
      </c>
      <c r="D493" s="152" t="s">
        <v>196</v>
      </c>
      <c r="E493" s="210" t="s">
        <v>310</v>
      </c>
      <c r="F493" s="208" t="s">
        <v>222</v>
      </c>
      <c r="G493" s="74">
        <f>2046.9-77.7</f>
        <v>1969.2</v>
      </c>
      <c r="H493" s="74">
        <f>2200-0.5-0.2</f>
        <v>2199.3</v>
      </c>
      <c r="I493" s="74">
        <f>G493-H493</f>
        <v>-230.10000000000014</v>
      </c>
    </row>
    <row r="494" spans="1:9" s="36" customFormat="1" ht="153">
      <c r="A494" s="130" t="s">
        <v>692</v>
      </c>
      <c r="B494" s="149"/>
      <c r="C494" s="152" t="s">
        <v>150</v>
      </c>
      <c r="D494" s="152" t="s">
        <v>196</v>
      </c>
      <c r="E494" s="210" t="s">
        <v>691</v>
      </c>
      <c r="F494" s="208"/>
      <c r="G494" s="74">
        <f t="shared" si="84"/>
        <v>14.7</v>
      </c>
      <c r="H494" s="74">
        <f t="shared" si="84"/>
        <v>14.7</v>
      </c>
      <c r="I494" s="74">
        <f t="shared" si="84"/>
        <v>0</v>
      </c>
    </row>
    <row r="495" spans="1:9" s="36" customFormat="1" ht="15.75">
      <c r="A495" s="147" t="s">
        <v>220</v>
      </c>
      <c r="B495" s="149"/>
      <c r="C495" s="152" t="s">
        <v>150</v>
      </c>
      <c r="D495" s="152" t="s">
        <v>196</v>
      </c>
      <c r="E495" s="210" t="s">
        <v>691</v>
      </c>
      <c r="F495" s="208" t="s">
        <v>206</v>
      </c>
      <c r="G495" s="74">
        <f t="shared" si="84"/>
        <v>14.7</v>
      </c>
      <c r="H495" s="74">
        <f t="shared" si="84"/>
        <v>14.7</v>
      </c>
      <c r="I495" s="74">
        <f t="shared" si="84"/>
        <v>0</v>
      </c>
    </row>
    <row r="496" spans="1:9" s="36" customFormat="1" ht="15.75">
      <c r="A496" s="148" t="s">
        <v>221</v>
      </c>
      <c r="B496" s="149"/>
      <c r="C496" s="152" t="s">
        <v>150</v>
      </c>
      <c r="D496" s="152" t="s">
        <v>196</v>
      </c>
      <c r="E496" s="210" t="s">
        <v>691</v>
      </c>
      <c r="F496" s="208" t="s">
        <v>222</v>
      </c>
      <c r="G496" s="74">
        <v>14.7</v>
      </c>
      <c r="H496" s="74">
        <v>14.7</v>
      </c>
      <c r="I496" s="74">
        <f>G496-H496</f>
        <v>0</v>
      </c>
    </row>
    <row r="497" spans="1:9" s="36" customFormat="1" ht="26.25">
      <c r="A497" s="109" t="s">
        <v>444</v>
      </c>
      <c r="B497" s="123"/>
      <c r="C497" s="152" t="s">
        <v>150</v>
      </c>
      <c r="D497" s="152" t="s">
        <v>196</v>
      </c>
      <c r="E497" s="210" t="s">
        <v>568</v>
      </c>
      <c r="F497" s="208"/>
      <c r="G497" s="74">
        <f aca="true" t="shared" si="85" ref="G497:I498">G498</f>
        <v>17515.800000000003</v>
      </c>
      <c r="H497" s="74">
        <f t="shared" si="85"/>
        <v>17515.800000000003</v>
      </c>
      <c r="I497" s="74">
        <f t="shared" si="85"/>
        <v>0</v>
      </c>
    </row>
    <row r="498" spans="1:9" s="36" customFormat="1" ht="15.75">
      <c r="A498" s="147" t="s">
        <v>317</v>
      </c>
      <c r="B498" s="123"/>
      <c r="C498" s="152" t="s">
        <v>150</v>
      </c>
      <c r="D498" s="152" t="s">
        <v>196</v>
      </c>
      <c r="E498" s="210" t="s">
        <v>568</v>
      </c>
      <c r="F498" s="208" t="s">
        <v>206</v>
      </c>
      <c r="G498" s="74">
        <f t="shared" si="85"/>
        <v>17515.800000000003</v>
      </c>
      <c r="H498" s="74">
        <f t="shared" si="85"/>
        <v>17515.800000000003</v>
      </c>
      <c r="I498" s="74">
        <f t="shared" si="85"/>
        <v>0</v>
      </c>
    </row>
    <row r="499" spans="1:9" s="36" customFormat="1" ht="15.75">
      <c r="A499" s="148" t="s">
        <v>221</v>
      </c>
      <c r="B499" s="123"/>
      <c r="C499" s="152" t="s">
        <v>150</v>
      </c>
      <c r="D499" s="152" t="s">
        <v>196</v>
      </c>
      <c r="E499" s="210" t="s">
        <v>568</v>
      </c>
      <c r="F499" s="208" t="s">
        <v>222</v>
      </c>
      <c r="G499" s="74">
        <f>17101.4+414.4</f>
        <v>17515.800000000003</v>
      </c>
      <c r="H499" s="74">
        <f>17101.4+414.4</f>
        <v>17515.800000000003</v>
      </c>
      <c r="I499" s="74">
        <f>G499-H499</f>
        <v>0</v>
      </c>
    </row>
    <row r="500" spans="1:9" s="36" customFormat="1" ht="26.25">
      <c r="A500" s="109" t="s">
        <v>446</v>
      </c>
      <c r="B500" s="123"/>
      <c r="C500" s="152" t="s">
        <v>150</v>
      </c>
      <c r="D500" s="152" t="s">
        <v>196</v>
      </c>
      <c r="E500" s="210" t="s">
        <v>445</v>
      </c>
      <c r="F500" s="208"/>
      <c r="G500" s="74">
        <f aca="true" t="shared" si="86" ref="G500:I501">G501</f>
        <v>44.6</v>
      </c>
      <c r="H500" s="74">
        <f t="shared" si="86"/>
        <v>44.6</v>
      </c>
      <c r="I500" s="74">
        <f t="shared" si="86"/>
        <v>0</v>
      </c>
    </row>
    <row r="501" spans="1:9" s="36" customFormat="1" ht="15.75">
      <c r="A501" s="147" t="s">
        <v>317</v>
      </c>
      <c r="B501" s="123"/>
      <c r="C501" s="152" t="s">
        <v>150</v>
      </c>
      <c r="D501" s="152" t="s">
        <v>196</v>
      </c>
      <c r="E501" s="210" t="s">
        <v>445</v>
      </c>
      <c r="F501" s="208" t="s">
        <v>206</v>
      </c>
      <c r="G501" s="74">
        <f t="shared" si="86"/>
        <v>44.6</v>
      </c>
      <c r="H501" s="74">
        <f t="shared" si="86"/>
        <v>44.6</v>
      </c>
      <c r="I501" s="74">
        <f t="shared" si="86"/>
        <v>0</v>
      </c>
    </row>
    <row r="502" spans="1:9" s="36" customFormat="1" ht="15.75">
      <c r="A502" s="148" t="s">
        <v>221</v>
      </c>
      <c r="B502" s="123"/>
      <c r="C502" s="152" t="s">
        <v>150</v>
      </c>
      <c r="D502" s="152" t="s">
        <v>196</v>
      </c>
      <c r="E502" s="210" t="s">
        <v>445</v>
      </c>
      <c r="F502" s="208" t="s">
        <v>222</v>
      </c>
      <c r="G502" s="74">
        <f>41.9+2.7</f>
        <v>44.6</v>
      </c>
      <c r="H502" s="74">
        <f>41.9+2.7</f>
        <v>44.6</v>
      </c>
      <c r="I502" s="74">
        <f>G502-H502</f>
        <v>0</v>
      </c>
    </row>
    <row r="503" spans="1:9" s="36" customFormat="1" ht="26.25">
      <c r="A503" s="109" t="s">
        <v>297</v>
      </c>
      <c r="B503" s="123"/>
      <c r="C503" s="152" t="s">
        <v>150</v>
      </c>
      <c r="D503" s="152" t="s">
        <v>196</v>
      </c>
      <c r="E503" s="210" t="s">
        <v>311</v>
      </c>
      <c r="F503" s="208"/>
      <c r="G503" s="74">
        <f aca="true" t="shared" si="87" ref="G503:I504">G504</f>
        <v>514</v>
      </c>
      <c r="H503" s="74">
        <f t="shared" si="87"/>
        <v>514</v>
      </c>
      <c r="I503" s="74">
        <f t="shared" si="87"/>
        <v>0</v>
      </c>
    </row>
    <row r="504" spans="1:9" s="36" customFormat="1" ht="15.75">
      <c r="A504" s="147" t="s">
        <v>220</v>
      </c>
      <c r="B504" s="123"/>
      <c r="C504" s="152" t="s">
        <v>150</v>
      </c>
      <c r="D504" s="152" t="s">
        <v>196</v>
      </c>
      <c r="E504" s="210" t="s">
        <v>311</v>
      </c>
      <c r="F504" s="208" t="s">
        <v>206</v>
      </c>
      <c r="G504" s="74">
        <f t="shared" si="87"/>
        <v>514</v>
      </c>
      <c r="H504" s="74">
        <f t="shared" si="87"/>
        <v>514</v>
      </c>
      <c r="I504" s="74">
        <f t="shared" si="87"/>
        <v>0</v>
      </c>
    </row>
    <row r="505" spans="1:9" s="36" customFormat="1" ht="15.75">
      <c r="A505" s="148" t="s">
        <v>221</v>
      </c>
      <c r="B505" s="123"/>
      <c r="C505" s="152" t="s">
        <v>150</v>
      </c>
      <c r="D505" s="152" t="s">
        <v>196</v>
      </c>
      <c r="E505" s="210" t="s">
        <v>311</v>
      </c>
      <c r="F505" s="208" t="s">
        <v>222</v>
      </c>
      <c r="G505" s="74">
        <v>514</v>
      </c>
      <c r="H505" s="74">
        <v>514</v>
      </c>
      <c r="I505" s="74">
        <f>G505-H505</f>
        <v>0</v>
      </c>
    </row>
    <row r="506" spans="1:10" s="36" customFormat="1" ht="15.75">
      <c r="A506" s="139" t="s">
        <v>417</v>
      </c>
      <c r="B506" s="140" t="s">
        <v>357</v>
      </c>
      <c r="C506" s="226"/>
      <c r="D506" s="226"/>
      <c r="E506" s="227"/>
      <c r="F506" s="228"/>
      <c r="G506" s="78">
        <f>G507+G539+G557+G618+G680+G695</f>
        <v>190388.57099999997</v>
      </c>
      <c r="H506" s="78">
        <f>H507+H539+H557+H618+H680+H695</f>
        <v>189379.791</v>
      </c>
      <c r="I506" s="78">
        <f>I507+I539+I557+I618+I680+I695</f>
        <v>1008.7799999999955</v>
      </c>
      <c r="J506" s="36">
        <v>0.2</v>
      </c>
    </row>
    <row r="507" spans="1:9" s="36" customFormat="1" ht="15.75">
      <c r="A507" s="175" t="s">
        <v>154</v>
      </c>
      <c r="B507" s="127"/>
      <c r="C507" s="153" t="s">
        <v>180</v>
      </c>
      <c r="D507" s="153"/>
      <c r="E507" s="229"/>
      <c r="F507" s="211"/>
      <c r="G507" s="78">
        <f>G508+G515</f>
        <v>7541.3</v>
      </c>
      <c r="H507" s="78">
        <f>H508+H515</f>
        <v>7541.3</v>
      </c>
      <c r="I507" s="78">
        <f>I508+I515</f>
        <v>0</v>
      </c>
    </row>
    <row r="508" spans="1:9" s="36" customFormat="1" ht="25.5">
      <c r="A508" s="176" t="s">
        <v>164</v>
      </c>
      <c r="B508" s="127"/>
      <c r="C508" s="153" t="s">
        <v>180</v>
      </c>
      <c r="D508" s="153" t="s">
        <v>196</v>
      </c>
      <c r="E508" s="229"/>
      <c r="F508" s="211"/>
      <c r="G508" s="78">
        <f aca="true" t="shared" si="88" ref="G508:I509">G509</f>
        <v>7121.3</v>
      </c>
      <c r="H508" s="78">
        <f t="shared" si="88"/>
        <v>7121.3</v>
      </c>
      <c r="I508" s="78">
        <f t="shared" si="88"/>
        <v>0</v>
      </c>
    </row>
    <row r="509" spans="1:9" ht="26.25">
      <c r="A509" s="106" t="s">
        <v>585</v>
      </c>
      <c r="B509" s="127"/>
      <c r="C509" s="173" t="s">
        <v>180</v>
      </c>
      <c r="D509" s="173" t="s">
        <v>196</v>
      </c>
      <c r="E509" s="201" t="s">
        <v>478</v>
      </c>
      <c r="F509" s="230"/>
      <c r="G509" s="78">
        <f t="shared" si="88"/>
        <v>7121.3</v>
      </c>
      <c r="H509" s="78">
        <f t="shared" si="88"/>
        <v>7121.3</v>
      </c>
      <c r="I509" s="78">
        <f t="shared" si="88"/>
        <v>0</v>
      </c>
    </row>
    <row r="510" spans="1:9" ht="15.75">
      <c r="A510" s="108" t="s">
        <v>138</v>
      </c>
      <c r="B510" s="127"/>
      <c r="C510" s="174" t="s">
        <v>180</v>
      </c>
      <c r="D510" s="174" t="s">
        <v>196</v>
      </c>
      <c r="E510" s="200" t="s">
        <v>479</v>
      </c>
      <c r="F510" s="202"/>
      <c r="G510" s="74">
        <f>G511+G513</f>
        <v>7121.3</v>
      </c>
      <c r="H510" s="74">
        <f>H511+H513</f>
        <v>7121.3</v>
      </c>
      <c r="I510" s="74">
        <f>I511+I513</f>
        <v>0</v>
      </c>
    </row>
    <row r="511" spans="1:9" ht="25.5">
      <c r="A511" s="110" t="s">
        <v>139</v>
      </c>
      <c r="B511" s="127"/>
      <c r="C511" s="174" t="s">
        <v>180</v>
      </c>
      <c r="D511" s="174" t="s">
        <v>196</v>
      </c>
      <c r="E511" s="200" t="s">
        <v>479</v>
      </c>
      <c r="F511" s="202" t="s">
        <v>228</v>
      </c>
      <c r="G511" s="74">
        <f>G512</f>
        <v>6900</v>
      </c>
      <c r="H511" s="74">
        <f>H512</f>
        <v>6900</v>
      </c>
      <c r="I511" s="74">
        <f>I512</f>
        <v>0</v>
      </c>
    </row>
    <row r="512" spans="1:9" ht="15.75">
      <c r="A512" s="110" t="s">
        <v>223</v>
      </c>
      <c r="B512" s="127"/>
      <c r="C512" s="174" t="s">
        <v>180</v>
      </c>
      <c r="D512" s="174" t="s">
        <v>196</v>
      </c>
      <c r="E512" s="200" t="s">
        <v>479</v>
      </c>
      <c r="F512" s="202" t="s">
        <v>224</v>
      </c>
      <c r="G512" s="74">
        <f>5216.8+130+1553.2</f>
        <v>6900</v>
      </c>
      <c r="H512" s="74">
        <f>5216.8+130+1553.2</f>
        <v>6900</v>
      </c>
      <c r="I512" s="74">
        <f>G512-H512</f>
        <v>0</v>
      </c>
    </row>
    <row r="513" spans="1:9" ht="15.75">
      <c r="A513" s="110" t="s">
        <v>264</v>
      </c>
      <c r="B513" s="127"/>
      <c r="C513" s="174" t="s">
        <v>180</v>
      </c>
      <c r="D513" s="174" t="s">
        <v>196</v>
      </c>
      <c r="E513" s="200" t="s">
        <v>479</v>
      </c>
      <c r="F513" s="202" t="s">
        <v>216</v>
      </c>
      <c r="G513" s="74">
        <f>G514</f>
        <v>221.3</v>
      </c>
      <c r="H513" s="74">
        <f>H514</f>
        <v>221.3</v>
      </c>
      <c r="I513" s="74">
        <f>I514</f>
        <v>0</v>
      </c>
    </row>
    <row r="514" spans="1:9" s="32" customFormat="1" ht="15.75">
      <c r="A514" s="110" t="s">
        <v>217</v>
      </c>
      <c r="B514" s="127"/>
      <c r="C514" s="174" t="s">
        <v>180</v>
      </c>
      <c r="D514" s="174" t="s">
        <v>196</v>
      </c>
      <c r="E514" s="200" t="s">
        <v>479</v>
      </c>
      <c r="F514" s="202" t="s">
        <v>215</v>
      </c>
      <c r="G514" s="74">
        <v>221.3</v>
      </c>
      <c r="H514" s="74">
        <v>221.3</v>
      </c>
      <c r="I514" s="74">
        <f>G514-H514</f>
        <v>0</v>
      </c>
    </row>
    <row r="515" spans="1:9" s="32" customFormat="1" ht="15.75">
      <c r="A515" s="125" t="s">
        <v>165</v>
      </c>
      <c r="B515" s="127"/>
      <c r="C515" s="153" t="s">
        <v>180</v>
      </c>
      <c r="D515" s="153" t="s">
        <v>146</v>
      </c>
      <c r="E515" s="229"/>
      <c r="F515" s="211"/>
      <c r="G515" s="78">
        <f>G516+G529+G535</f>
        <v>420</v>
      </c>
      <c r="H515" s="78">
        <f>H516+H529+H535</f>
        <v>420</v>
      </c>
      <c r="I515" s="78">
        <f>I516+I529+I535</f>
        <v>0</v>
      </c>
    </row>
    <row r="516" spans="1:9" s="32" customFormat="1" ht="15.75">
      <c r="A516" s="126" t="s">
        <v>400</v>
      </c>
      <c r="B516" s="127"/>
      <c r="C516" s="153" t="s">
        <v>180</v>
      </c>
      <c r="D516" s="153" t="s">
        <v>146</v>
      </c>
      <c r="E516" s="201" t="s">
        <v>95</v>
      </c>
      <c r="F516" s="211"/>
      <c r="G516" s="78">
        <f>G517+G523</f>
        <v>370</v>
      </c>
      <c r="H516" s="78">
        <f>H517+H523</f>
        <v>370</v>
      </c>
      <c r="I516" s="78">
        <f>I517+I523</f>
        <v>0</v>
      </c>
    </row>
    <row r="517" spans="1:9" s="32" customFormat="1" ht="15.75">
      <c r="A517" s="134" t="s">
        <v>450</v>
      </c>
      <c r="B517" s="127"/>
      <c r="C517" s="153" t="s">
        <v>180</v>
      </c>
      <c r="D517" s="153" t="s">
        <v>146</v>
      </c>
      <c r="E517" s="201" t="s">
        <v>54</v>
      </c>
      <c r="F517" s="211"/>
      <c r="G517" s="78">
        <f>G518</f>
        <v>45</v>
      </c>
      <c r="H517" s="78">
        <f>H518</f>
        <v>45</v>
      </c>
      <c r="I517" s="78">
        <f>I518</f>
        <v>0</v>
      </c>
    </row>
    <row r="518" spans="1:9" s="32" customFormat="1" ht="15.75">
      <c r="A518" s="112" t="s">
        <v>111</v>
      </c>
      <c r="B518" s="113"/>
      <c r="C518" s="152" t="s">
        <v>180</v>
      </c>
      <c r="D518" s="152" t="s">
        <v>146</v>
      </c>
      <c r="E518" s="210" t="s">
        <v>55</v>
      </c>
      <c r="F518" s="208"/>
      <c r="G518" s="74">
        <f>G519+G521</f>
        <v>45</v>
      </c>
      <c r="H518" s="74">
        <f>H519+H521</f>
        <v>45</v>
      </c>
      <c r="I518" s="74">
        <f>I519+I521</f>
        <v>0</v>
      </c>
    </row>
    <row r="519" spans="1:9" s="32" customFormat="1" ht="15.75">
      <c r="A519" s="110" t="s">
        <v>264</v>
      </c>
      <c r="B519" s="111"/>
      <c r="C519" s="152" t="s">
        <v>180</v>
      </c>
      <c r="D519" s="152" t="s">
        <v>146</v>
      </c>
      <c r="E519" s="210" t="s">
        <v>55</v>
      </c>
      <c r="F519" s="208" t="s">
        <v>216</v>
      </c>
      <c r="G519" s="74">
        <f>G520</f>
        <v>15</v>
      </c>
      <c r="H519" s="74">
        <f>H520</f>
        <v>15</v>
      </c>
      <c r="I519" s="74">
        <f>I520</f>
        <v>0</v>
      </c>
    </row>
    <row r="520" spans="1:9" s="32" customFormat="1" ht="15.75">
      <c r="A520" s="110" t="s">
        <v>217</v>
      </c>
      <c r="B520" s="113"/>
      <c r="C520" s="152" t="s">
        <v>180</v>
      </c>
      <c r="D520" s="152" t="s">
        <v>146</v>
      </c>
      <c r="E520" s="210" t="s">
        <v>55</v>
      </c>
      <c r="F520" s="208" t="s">
        <v>215</v>
      </c>
      <c r="G520" s="74">
        <v>15</v>
      </c>
      <c r="H520" s="74">
        <v>15</v>
      </c>
      <c r="I520" s="74">
        <f>G520-H520</f>
        <v>0</v>
      </c>
    </row>
    <row r="521" spans="1:9" s="36" customFormat="1" ht="15.75">
      <c r="A521" s="110" t="s">
        <v>317</v>
      </c>
      <c r="B521" s="127"/>
      <c r="C521" s="152" t="s">
        <v>180</v>
      </c>
      <c r="D521" s="152" t="s">
        <v>146</v>
      </c>
      <c r="E521" s="210" t="s">
        <v>55</v>
      </c>
      <c r="F521" s="231">
        <v>600</v>
      </c>
      <c r="G521" s="99">
        <f>G522</f>
        <v>30</v>
      </c>
      <c r="H521" s="99">
        <f>H522</f>
        <v>30</v>
      </c>
      <c r="I521" s="99">
        <f>I522</f>
        <v>0</v>
      </c>
    </row>
    <row r="522" spans="1:9" s="36" customFormat="1" ht="15.75">
      <c r="A522" s="110" t="s">
        <v>221</v>
      </c>
      <c r="B522" s="127"/>
      <c r="C522" s="152" t="s">
        <v>180</v>
      </c>
      <c r="D522" s="152" t="s">
        <v>146</v>
      </c>
      <c r="E522" s="210" t="s">
        <v>55</v>
      </c>
      <c r="F522" s="231">
        <v>610</v>
      </c>
      <c r="G522" s="99">
        <v>30</v>
      </c>
      <c r="H522" s="99">
        <v>30</v>
      </c>
      <c r="I522" s="74">
        <f>G522-H522</f>
        <v>0</v>
      </c>
    </row>
    <row r="523" spans="1:9" s="36" customFormat="1" ht="15.75">
      <c r="A523" s="114" t="s">
        <v>245</v>
      </c>
      <c r="B523" s="113"/>
      <c r="C523" s="153" t="s">
        <v>180</v>
      </c>
      <c r="D523" s="153" t="s">
        <v>146</v>
      </c>
      <c r="E523" s="206" t="s">
        <v>56</v>
      </c>
      <c r="F523" s="208"/>
      <c r="G523" s="78">
        <f>G524</f>
        <v>325</v>
      </c>
      <c r="H523" s="78">
        <f>H524</f>
        <v>325</v>
      </c>
      <c r="I523" s="78">
        <f>I524</f>
        <v>0</v>
      </c>
    </row>
    <row r="524" spans="1:9" s="36" customFormat="1" ht="15.75">
      <c r="A524" s="112" t="s">
        <v>111</v>
      </c>
      <c r="B524" s="113"/>
      <c r="C524" s="152" t="s">
        <v>180</v>
      </c>
      <c r="D524" s="152" t="s">
        <v>146</v>
      </c>
      <c r="E524" s="210" t="s">
        <v>57</v>
      </c>
      <c r="F524" s="208"/>
      <c r="G524" s="74">
        <f>G525+G527</f>
        <v>325</v>
      </c>
      <c r="H524" s="74">
        <f>H525+H527</f>
        <v>325</v>
      </c>
      <c r="I524" s="74">
        <f>I525+I527</f>
        <v>0</v>
      </c>
    </row>
    <row r="525" spans="1:9" s="36" customFormat="1" ht="15.75">
      <c r="A525" s="110" t="s">
        <v>264</v>
      </c>
      <c r="B525" s="111"/>
      <c r="C525" s="152" t="s">
        <v>180</v>
      </c>
      <c r="D525" s="152" t="s">
        <v>146</v>
      </c>
      <c r="E525" s="210" t="s">
        <v>57</v>
      </c>
      <c r="F525" s="208" t="s">
        <v>216</v>
      </c>
      <c r="G525" s="74">
        <f>G526</f>
        <v>62</v>
      </c>
      <c r="H525" s="74">
        <f>H526</f>
        <v>62</v>
      </c>
      <c r="I525" s="74">
        <f>I526</f>
        <v>0</v>
      </c>
    </row>
    <row r="526" spans="1:9" s="36" customFormat="1" ht="15.75">
      <c r="A526" s="110" t="s">
        <v>217</v>
      </c>
      <c r="B526" s="113"/>
      <c r="C526" s="152" t="s">
        <v>180</v>
      </c>
      <c r="D526" s="152" t="s">
        <v>146</v>
      </c>
      <c r="E526" s="210" t="s">
        <v>57</v>
      </c>
      <c r="F526" s="208" t="s">
        <v>215</v>
      </c>
      <c r="G526" s="74">
        <v>62</v>
      </c>
      <c r="H526" s="74">
        <v>62</v>
      </c>
      <c r="I526" s="74">
        <f>G526-H526</f>
        <v>0</v>
      </c>
    </row>
    <row r="527" spans="1:9" s="36" customFormat="1" ht="15.75">
      <c r="A527" s="128" t="s">
        <v>220</v>
      </c>
      <c r="B527" s="113"/>
      <c r="C527" s="152" t="s">
        <v>180</v>
      </c>
      <c r="D527" s="152" t="s">
        <v>146</v>
      </c>
      <c r="E527" s="210" t="s">
        <v>57</v>
      </c>
      <c r="F527" s="208" t="s">
        <v>206</v>
      </c>
      <c r="G527" s="74">
        <f>G528</f>
        <v>263</v>
      </c>
      <c r="H527" s="74">
        <f>H528</f>
        <v>263</v>
      </c>
      <c r="I527" s="74">
        <f>I528</f>
        <v>0</v>
      </c>
    </row>
    <row r="528" spans="1:9" s="36" customFormat="1" ht="15.75">
      <c r="A528" s="135" t="s">
        <v>221</v>
      </c>
      <c r="B528" s="113"/>
      <c r="C528" s="152" t="s">
        <v>180</v>
      </c>
      <c r="D528" s="152" t="s">
        <v>146</v>
      </c>
      <c r="E528" s="210" t="s">
        <v>57</v>
      </c>
      <c r="F528" s="208" t="s">
        <v>222</v>
      </c>
      <c r="G528" s="74">
        <v>263</v>
      </c>
      <c r="H528" s="74">
        <v>263</v>
      </c>
      <c r="I528" s="74">
        <f>G528-H528</f>
        <v>0</v>
      </c>
    </row>
    <row r="529" spans="1:9" s="36" customFormat="1" ht="15.75">
      <c r="A529" s="125" t="s">
        <v>437</v>
      </c>
      <c r="B529" s="177"/>
      <c r="C529" s="153" t="s">
        <v>180</v>
      </c>
      <c r="D529" s="153" t="s">
        <v>146</v>
      </c>
      <c r="E529" s="206" t="s">
        <v>96</v>
      </c>
      <c r="F529" s="208"/>
      <c r="G529" s="78">
        <f>G530</f>
        <v>40</v>
      </c>
      <c r="H529" s="78">
        <f>H530</f>
        <v>40</v>
      </c>
      <c r="I529" s="78">
        <f>I530</f>
        <v>0</v>
      </c>
    </row>
    <row r="530" spans="1:9" s="36" customFormat="1" ht="15.75">
      <c r="A530" s="112" t="s">
        <v>111</v>
      </c>
      <c r="B530" s="113"/>
      <c r="C530" s="152" t="s">
        <v>180</v>
      </c>
      <c r="D530" s="152" t="s">
        <v>146</v>
      </c>
      <c r="E530" s="210" t="s">
        <v>458</v>
      </c>
      <c r="F530" s="208"/>
      <c r="G530" s="74">
        <f>G533+G531</f>
        <v>40</v>
      </c>
      <c r="H530" s="74">
        <f>H533+H531</f>
        <v>40</v>
      </c>
      <c r="I530" s="74">
        <f>I533+I531</f>
        <v>0</v>
      </c>
    </row>
    <row r="531" spans="1:9" s="36" customFormat="1" ht="15.75">
      <c r="A531" s="110" t="s">
        <v>264</v>
      </c>
      <c r="B531" s="113"/>
      <c r="C531" s="152" t="s">
        <v>180</v>
      </c>
      <c r="D531" s="152" t="s">
        <v>146</v>
      </c>
      <c r="E531" s="210" t="s">
        <v>458</v>
      </c>
      <c r="F531" s="208" t="s">
        <v>216</v>
      </c>
      <c r="G531" s="74">
        <f>G532</f>
        <v>10</v>
      </c>
      <c r="H531" s="74">
        <f>H532</f>
        <v>10</v>
      </c>
      <c r="I531" s="74">
        <f>I532</f>
        <v>0</v>
      </c>
    </row>
    <row r="532" spans="1:9" s="36" customFormat="1" ht="15.75">
      <c r="A532" s="110" t="s">
        <v>217</v>
      </c>
      <c r="B532" s="113"/>
      <c r="C532" s="152" t="s">
        <v>180</v>
      </c>
      <c r="D532" s="152" t="s">
        <v>146</v>
      </c>
      <c r="E532" s="210" t="s">
        <v>458</v>
      </c>
      <c r="F532" s="208" t="s">
        <v>215</v>
      </c>
      <c r="G532" s="74">
        <v>10</v>
      </c>
      <c r="H532" s="74">
        <v>10</v>
      </c>
      <c r="I532" s="74">
        <f>G532-H532</f>
        <v>0</v>
      </c>
    </row>
    <row r="533" spans="1:9" s="36" customFormat="1" ht="15.75">
      <c r="A533" s="128" t="s">
        <v>220</v>
      </c>
      <c r="B533" s="113"/>
      <c r="C533" s="152" t="s">
        <v>180</v>
      </c>
      <c r="D533" s="152" t="s">
        <v>146</v>
      </c>
      <c r="E533" s="210" t="s">
        <v>458</v>
      </c>
      <c r="F533" s="208" t="s">
        <v>206</v>
      </c>
      <c r="G533" s="74">
        <f>G534</f>
        <v>30</v>
      </c>
      <c r="H533" s="74">
        <f>H534</f>
        <v>30</v>
      </c>
      <c r="I533" s="74">
        <f>I534</f>
        <v>0</v>
      </c>
    </row>
    <row r="534" spans="1:9" s="36" customFormat="1" ht="15.75">
      <c r="A534" s="135" t="s">
        <v>221</v>
      </c>
      <c r="B534" s="113"/>
      <c r="C534" s="152" t="s">
        <v>180</v>
      </c>
      <c r="D534" s="152" t="s">
        <v>146</v>
      </c>
      <c r="E534" s="210" t="s">
        <v>458</v>
      </c>
      <c r="F534" s="208" t="s">
        <v>222</v>
      </c>
      <c r="G534" s="74">
        <v>30</v>
      </c>
      <c r="H534" s="74">
        <v>30</v>
      </c>
      <c r="I534" s="74">
        <f>G534-H534</f>
        <v>0</v>
      </c>
    </row>
    <row r="535" spans="1:9" s="36" customFormat="1" ht="15.75">
      <c r="A535" s="125" t="s">
        <v>453</v>
      </c>
      <c r="B535" s="177"/>
      <c r="C535" s="153" t="s">
        <v>180</v>
      </c>
      <c r="D535" s="153" t="s">
        <v>146</v>
      </c>
      <c r="E535" s="206" t="s">
        <v>452</v>
      </c>
      <c r="F535" s="208"/>
      <c r="G535" s="78">
        <f aca="true" t="shared" si="89" ref="G535:H537">G536</f>
        <v>10</v>
      </c>
      <c r="H535" s="78">
        <f t="shared" si="89"/>
        <v>10</v>
      </c>
      <c r="I535" s="78">
        <f>I536</f>
        <v>0</v>
      </c>
    </row>
    <row r="536" spans="1:9" s="36" customFormat="1" ht="15.75">
      <c r="A536" s="112" t="s">
        <v>111</v>
      </c>
      <c r="B536" s="177"/>
      <c r="C536" s="152" t="s">
        <v>180</v>
      </c>
      <c r="D536" s="152" t="s">
        <v>146</v>
      </c>
      <c r="E536" s="210" t="s">
        <v>454</v>
      </c>
      <c r="F536" s="208"/>
      <c r="G536" s="74">
        <f t="shared" si="89"/>
        <v>10</v>
      </c>
      <c r="H536" s="74">
        <f t="shared" si="89"/>
        <v>10</v>
      </c>
      <c r="I536" s="74">
        <f>I537</f>
        <v>0</v>
      </c>
    </row>
    <row r="537" spans="1:9" s="36" customFormat="1" ht="15.75">
      <c r="A537" s="110" t="s">
        <v>264</v>
      </c>
      <c r="B537" s="177"/>
      <c r="C537" s="152" t="s">
        <v>180</v>
      </c>
      <c r="D537" s="152" t="s">
        <v>146</v>
      </c>
      <c r="E537" s="210" t="s">
        <v>454</v>
      </c>
      <c r="F537" s="208" t="s">
        <v>216</v>
      </c>
      <c r="G537" s="74">
        <f t="shared" si="89"/>
        <v>10</v>
      </c>
      <c r="H537" s="74">
        <f t="shared" si="89"/>
        <v>10</v>
      </c>
      <c r="I537" s="74">
        <f>I538</f>
        <v>0</v>
      </c>
    </row>
    <row r="538" spans="1:9" s="36" customFormat="1" ht="15.75">
      <c r="A538" s="110" t="s">
        <v>217</v>
      </c>
      <c r="B538" s="177"/>
      <c r="C538" s="152" t="s">
        <v>180</v>
      </c>
      <c r="D538" s="152" t="s">
        <v>146</v>
      </c>
      <c r="E538" s="210" t="s">
        <v>454</v>
      </c>
      <c r="F538" s="208" t="s">
        <v>215</v>
      </c>
      <c r="G538" s="74">
        <v>10</v>
      </c>
      <c r="H538" s="74">
        <v>10</v>
      </c>
      <c r="I538" s="74">
        <f>G538-H538</f>
        <v>0</v>
      </c>
    </row>
    <row r="539" spans="1:9" s="36" customFormat="1" ht="15.75">
      <c r="A539" s="178" t="s">
        <v>210</v>
      </c>
      <c r="B539" s="179"/>
      <c r="C539" s="232" t="s">
        <v>196</v>
      </c>
      <c r="D539" s="233"/>
      <c r="E539" s="234"/>
      <c r="F539" s="233"/>
      <c r="G539" s="100">
        <f aca="true" t="shared" si="90" ref="G539:H541">G540</f>
        <v>3320.1</v>
      </c>
      <c r="H539" s="100">
        <f t="shared" si="90"/>
        <v>3009.84</v>
      </c>
      <c r="I539" s="100">
        <f>I540</f>
        <v>310.26</v>
      </c>
    </row>
    <row r="540" spans="1:9" s="36" customFormat="1" ht="15.75">
      <c r="A540" s="134" t="s">
        <v>159</v>
      </c>
      <c r="B540" s="107"/>
      <c r="C540" s="173" t="s">
        <v>196</v>
      </c>
      <c r="D540" s="173" t="s">
        <v>188</v>
      </c>
      <c r="E540" s="201"/>
      <c r="F540" s="203"/>
      <c r="G540" s="78">
        <f t="shared" si="90"/>
        <v>3320.1</v>
      </c>
      <c r="H540" s="78">
        <f t="shared" si="90"/>
        <v>3009.84</v>
      </c>
      <c r="I540" s="78">
        <f>I541</f>
        <v>310.26</v>
      </c>
    </row>
    <row r="541" spans="1:9" s="36" customFormat="1" ht="15.75">
      <c r="A541" s="178" t="s">
        <v>387</v>
      </c>
      <c r="B541" s="107"/>
      <c r="C541" s="173" t="s">
        <v>196</v>
      </c>
      <c r="D541" s="173" t="s">
        <v>188</v>
      </c>
      <c r="E541" s="201" t="s">
        <v>86</v>
      </c>
      <c r="F541" s="203"/>
      <c r="G541" s="78">
        <f t="shared" si="90"/>
        <v>3320.1</v>
      </c>
      <c r="H541" s="78">
        <f t="shared" si="90"/>
        <v>3009.84</v>
      </c>
      <c r="I541" s="78">
        <f>I542</f>
        <v>310.26</v>
      </c>
    </row>
    <row r="542" spans="1:9" s="36" customFormat="1" ht="15.75">
      <c r="A542" s="134" t="s">
        <v>582</v>
      </c>
      <c r="B542" s="107"/>
      <c r="C542" s="173" t="s">
        <v>196</v>
      </c>
      <c r="D542" s="173" t="s">
        <v>188</v>
      </c>
      <c r="E542" s="201" t="s">
        <v>88</v>
      </c>
      <c r="F542" s="203"/>
      <c r="G542" s="78">
        <f>G543+G548+G551+G554</f>
        <v>3320.1</v>
      </c>
      <c r="H542" s="78">
        <f>H543+H548+H551+H554</f>
        <v>3009.84</v>
      </c>
      <c r="I542" s="78">
        <f>I543+I548+I551+I554</f>
        <v>310.26</v>
      </c>
    </row>
    <row r="543" spans="1:9" s="36" customFormat="1" ht="15.75">
      <c r="A543" s="112" t="s">
        <v>114</v>
      </c>
      <c r="B543" s="111"/>
      <c r="C543" s="174" t="s">
        <v>196</v>
      </c>
      <c r="D543" s="174" t="s">
        <v>188</v>
      </c>
      <c r="E543" s="200" t="s">
        <v>89</v>
      </c>
      <c r="F543" s="202"/>
      <c r="G543" s="74">
        <f>G544+G546</f>
        <v>589</v>
      </c>
      <c r="H543" s="74">
        <f>H544+H546</f>
        <v>589</v>
      </c>
      <c r="I543" s="74">
        <f>I544+I546</f>
        <v>0</v>
      </c>
    </row>
    <row r="544" spans="1:9" s="36" customFormat="1" ht="25.5">
      <c r="A544" s="110" t="s">
        <v>139</v>
      </c>
      <c r="B544" s="111"/>
      <c r="C544" s="174" t="s">
        <v>196</v>
      </c>
      <c r="D544" s="174" t="s">
        <v>188</v>
      </c>
      <c r="E544" s="200" t="s">
        <v>89</v>
      </c>
      <c r="F544" s="202" t="s">
        <v>228</v>
      </c>
      <c r="G544" s="74">
        <f>G545</f>
        <v>25</v>
      </c>
      <c r="H544" s="74">
        <f>H545</f>
        <v>25</v>
      </c>
      <c r="I544" s="74">
        <f>I545</f>
        <v>0</v>
      </c>
    </row>
    <row r="545" spans="1:9" s="36" customFormat="1" ht="15.75">
      <c r="A545" s="144" t="s">
        <v>223</v>
      </c>
      <c r="B545" s="111"/>
      <c r="C545" s="174" t="s">
        <v>196</v>
      </c>
      <c r="D545" s="174" t="s">
        <v>188</v>
      </c>
      <c r="E545" s="200" t="s">
        <v>89</v>
      </c>
      <c r="F545" s="202" t="s">
        <v>224</v>
      </c>
      <c r="G545" s="74">
        <v>25</v>
      </c>
      <c r="H545" s="74">
        <v>25</v>
      </c>
      <c r="I545" s="74">
        <f>G545-H545</f>
        <v>0</v>
      </c>
    </row>
    <row r="546" spans="1:9" s="36" customFormat="1" ht="15.75">
      <c r="A546" s="128" t="s">
        <v>220</v>
      </c>
      <c r="B546" s="111"/>
      <c r="C546" s="174" t="s">
        <v>196</v>
      </c>
      <c r="D546" s="174" t="s">
        <v>188</v>
      </c>
      <c r="E546" s="200" t="s">
        <v>89</v>
      </c>
      <c r="F546" s="202" t="s">
        <v>206</v>
      </c>
      <c r="G546" s="74">
        <f>G547</f>
        <v>564</v>
      </c>
      <c r="H546" s="74">
        <f>H547</f>
        <v>564</v>
      </c>
      <c r="I546" s="74">
        <f>I547</f>
        <v>0</v>
      </c>
    </row>
    <row r="547" spans="1:9" s="36" customFormat="1" ht="15.75">
      <c r="A547" s="135" t="s">
        <v>221</v>
      </c>
      <c r="B547" s="111"/>
      <c r="C547" s="174" t="s">
        <v>196</v>
      </c>
      <c r="D547" s="174" t="s">
        <v>188</v>
      </c>
      <c r="E547" s="200" t="s">
        <v>89</v>
      </c>
      <c r="F547" s="202" t="s">
        <v>222</v>
      </c>
      <c r="G547" s="74">
        <f>400+100+64</f>
        <v>564</v>
      </c>
      <c r="H547" s="74">
        <f>400+100+64</f>
        <v>564</v>
      </c>
      <c r="I547" s="74">
        <f>G547-H547</f>
        <v>0</v>
      </c>
    </row>
    <row r="548" spans="1:9" s="36" customFormat="1" ht="15.75">
      <c r="A548" s="112" t="s">
        <v>262</v>
      </c>
      <c r="B548" s="111"/>
      <c r="C548" s="174" t="s">
        <v>196</v>
      </c>
      <c r="D548" s="174" t="s">
        <v>188</v>
      </c>
      <c r="E548" s="200" t="s">
        <v>353</v>
      </c>
      <c r="F548" s="202"/>
      <c r="G548" s="74">
        <f aca="true" t="shared" si="91" ref="G548:I549">G549</f>
        <v>578</v>
      </c>
      <c r="H548" s="74">
        <f t="shared" si="91"/>
        <v>267.74</v>
      </c>
      <c r="I548" s="74">
        <f t="shared" si="91"/>
        <v>310.26</v>
      </c>
    </row>
    <row r="549" spans="1:9" s="36" customFormat="1" ht="15.75">
      <c r="A549" s="128" t="s">
        <v>220</v>
      </c>
      <c r="B549" s="111"/>
      <c r="C549" s="174" t="s">
        <v>196</v>
      </c>
      <c r="D549" s="174" t="s">
        <v>188</v>
      </c>
      <c r="E549" s="200" t="s">
        <v>353</v>
      </c>
      <c r="F549" s="202" t="s">
        <v>206</v>
      </c>
      <c r="G549" s="74">
        <f t="shared" si="91"/>
        <v>578</v>
      </c>
      <c r="H549" s="74">
        <f t="shared" si="91"/>
        <v>267.74</v>
      </c>
      <c r="I549" s="74">
        <f t="shared" si="91"/>
        <v>310.26</v>
      </c>
    </row>
    <row r="550" spans="1:9" s="36" customFormat="1" ht="15.75">
      <c r="A550" s="135" t="s">
        <v>221</v>
      </c>
      <c r="B550" s="111"/>
      <c r="C550" s="174" t="s">
        <v>196</v>
      </c>
      <c r="D550" s="174" t="s">
        <v>188</v>
      </c>
      <c r="E550" s="200" t="s">
        <v>353</v>
      </c>
      <c r="F550" s="202" t="s">
        <v>222</v>
      </c>
      <c r="G550" s="74">
        <f>458+120</f>
        <v>578</v>
      </c>
      <c r="H550" s="74">
        <v>267.74</v>
      </c>
      <c r="I550" s="74">
        <f>G550-H550</f>
        <v>310.26</v>
      </c>
    </row>
    <row r="551" spans="1:9" s="36" customFormat="1" ht="15.75">
      <c r="A551" s="112" t="s">
        <v>535</v>
      </c>
      <c r="B551" s="111"/>
      <c r="C551" s="174" t="s">
        <v>196</v>
      </c>
      <c r="D551" s="174" t="s">
        <v>188</v>
      </c>
      <c r="E551" s="200" t="s">
        <v>534</v>
      </c>
      <c r="F551" s="202"/>
      <c r="G551" s="74">
        <f aca="true" t="shared" si="92" ref="G551:H555">G552</f>
        <v>1653.1</v>
      </c>
      <c r="H551" s="74">
        <f t="shared" si="92"/>
        <v>1653.1</v>
      </c>
      <c r="I551" s="74">
        <f>I552</f>
        <v>0</v>
      </c>
    </row>
    <row r="552" spans="1:9" s="36" customFormat="1" ht="15.75">
      <c r="A552" s="128" t="s">
        <v>220</v>
      </c>
      <c r="B552" s="111"/>
      <c r="C552" s="174" t="s">
        <v>196</v>
      </c>
      <c r="D552" s="174" t="s">
        <v>188</v>
      </c>
      <c r="E552" s="200" t="s">
        <v>534</v>
      </c>
      <c r="F552" s="202" t="s">
        <v>206</v>
      </c>
      <c r="G552" s="74">
        <f t="shared" si="92"/>
        <v>1653.1</v>
      </c>
      <c r="H552" s="74">
        <f t="shared" si="92"/>
        <v>1653.1</v>
      </c>
      <c r="I552" s="74">
        <f>I553</f>
        <v>0</v>
      </c>
    </row>
    <row r="553" spans="1:9" s="36" customFormat="1" ht="15.75">
      <c r="A553" s="135" t="s">
        <v>221</v>
      </c>
      <c r="B553" s="111"/>
      <c r="C553" s="174" t="s">
        <v>196</v>
      </c>
      <c r="D553" s="174" t="s">
        <v>188</v>
      </c>
      <c r="E553" s="200" t="s">
        <v>534</v>
      </c>
      <c r="F553" s="202" t="s">
        <v>222</v>
      </c>
      <c r="G553" s="74">
        <v>1653.1</v>
      </c>
      <c r="H553" s="74">
        <v>1653.1</v>
      </c>
      <c r="I553" s="74">
        <f>G553-H553</f>
        <v>0</v>
      </c>
    </row>
    <row r="554" spans="1:9" s="36" customFormat="1" ht="15.75">
      <c r="A554" s="112" t="s">
        <v>617</v>
      </c>
      <c r="B554" s="111"/>
      <c r="C554" s="174" t="s">
        <v>196</v>
      </c>
      <c r="D554" s="174" t="s">
        <v>188</v>
      </c>
      <c r="E554" s="200" t="s">
        <v>616</v>
      </c>
      <c r="F554" s="202"/>
      <c r="G554" s="74">
        <f t="shared" si="92"/>
        <v>500</v>
      </c>
      <c r="H554" s="74">
        <f t="shared" si="92"/>
        <v>500</v>
      </c>
      <c r="I554" s="74">
        <f>I555</f>
        <v>0</v>
      </c>
    </row>
    <row r="555" spans="1:9" s="36" customFormat="1" ht="15.75">
      <c r="A555" s="128" t="s">
        <v>220</v>
      </c>
      <c r="B555" s="111"/>
      <c r="C555" s="174" t="s">
        <v>196</v>
      </c>
      <c r="D555" s="174" t="s">
        <v>188</v>
      </c>
      <c r="E555" s="200" t="s">
        <v>616</v>
      </c>
      <c r="F555" s="202" t="s">
        <v>206</v>
      </c>
      <c r="G555" s="74">
        <f t="shared" si="92"/>
        <v>500</v>
      </c>
      <c r="H555" s="74">
        <f t="shared" si="92"/>
        <v>500</v>
      </c>
      <c r="I555" s="74">
        <f>I556</f>
        <v>0</v>
      </c>
    </row>
    <row r="556" spans="1:9" s="36" customFormat="1" ht="15.75">
      <c r="A556" s="135" t="s">
        <v>221</v>
      </c>
      <c r="B556" s="111"/>
      <c r="C556" s="174" t="s">
        <v>196</v>
      </c>
      <c r="D556" s="174" t="s">
        <v>188</v>
      </c>
      <c r="E556" s="200" t="s">
        <v>616</v>
      </c>
      <c r="F556" s="202" t="s">
        <v>222</v>
      </c>
      <c r="G556" s="74">
        <v>500</v>
      </c>
      <c r="H556" s="74">
        <v>500</v>
      </c>
      <c r="I556" s="74">
        <f>G556-H556</f>
        <v>0</v>
      </c>
    </row>
    <row r="557" spans="1:9" s="32" customFormat="1" ht="15.75">
      <c r="A557" s="106" t="s">
        <v>192</v>
      </c>
      <c r="B557" s="121"/>
      <c r="C557" s="153" t="s">
        <v>152</v>
      </c>
      <c r="D557" s="152"/>
      <c r="E557" s="210"/>
      <c r="F557" s="235"/>
      <c r="G557" s="78">
        <f>G558+G600</f>
        <v>40001.771</v>
      </c>
      <c r="H557" s="78">
        <f>H558+H600</f>
        <v>39583.271</v>
      </c>
      <c r="I557" s="78">
        <f>I558+I600</f>
        <v>418.50000000000307</v>
      </c>
    </row>
    <row r="558" spans="1:9" s="32" customFormat="1" ht="15.75">
      <c r="A558" s="166" t="s">
        <v>280</v>
      </c>
      <c r="B558" s="121"/>
      <c r="C558" s="153" t="s">
        <v>152</v>
      </c>
      <c r="D558" s="153" t="s">
        <v>181</v>
      </c>
      <c r="E558" s="210"/>
      <c r="F558" s="235"/>
      <c r="G558" s="78">
        <f aca="true" t="shared" si="93" ref="G558:I559">G559</f>
        <v>38965.971</v>
      </c>
      <c r="H558" s="78">
        <f t="shared" si="93"/>
        <v>38547.471</v>
      </c>
      <c r="I558" s="78">
        <f t="shared" si="93"/>
        <v>418.50000000000307</v>
      </c>
    </row>
    <row r="559" spans="1:9" s="32" customFormat="1" ht="16.5" customHeight="1">
      <c r="A559" s="178" t="s">
        <v>387</v>
      </c>
      <c r="B559" s="107"/>
      <c r="C559" s="153" t="s">
        <v>152</v>
      </c>
      <c r="D559" s="153" t="s">
        <v>181</v>
      </c>
      <c r="E559" s="201" t="s">
        <v>86</v>
      </c>
      <c r="F559" s="203"/>
      <c r="G559" s="78">
        <f t="shared" si="93"/>
        <v>38965.971</v>
      </c>
      <c r="H559" s="78">
        <f t="shared" si="93"/>
        <v>38547.471</v>
      </c>
      <c r="I559" s="78">
        <f t="shared" si="93"/>
        <v>418.50000000000307</v>
      </c>
    </row>
    <row r="560" spans="1:9" s="32" customFormat="1" ht="27.75" customHeight="1">
      <c r="A560" s="106" t="s">
        <v>581</v>
      </c>
      <c r="B560" s="107"/>
      <c r="C560" s="173" t="s">
        <v>152</v>
      </c>
      <c r="D560" s="173" t="s">
        <v>181</v>
      </c>
      <c r="E560" s="201" t="s">
        <v>370</v>
      </c>
      <c r="F560" s="203"/>
      <c r="G560" s="78">
        <f>G561+G564+G567+G570+G573+G576+G579+G591+G597+G594+G582+G585+G588</f>
        <v>38965.971</v>
      </c>
      <c r="H560" s="78">
        <f>H561+H564+H567+H570+H573+H576+H579+H591+H597+H594+H582+H585</f>
        <v>38547.471</v>
      </c>
      <c r="I560" s="362">
        <f>I561+I564+I567+I570+I573+I576+I579+I591+I597+I594+I582+I585+I588</f>
        <v>418.50000000000307</v>
      </c>
    </row>
    <row r="561" spans="1:9" s="34" customFormat="1" ht="15.75">
      <c r="A561" s="165" t="s">
        <v>125</v>
      </c>
      <c r="B561" s="111"/>
      <c r="C561" s="174" t="s">
        <v>152</v>
      </c>
      <c r="D561" s="174" t="s">
        <v>181</v>
      </c>
      <c r="E561" s="200" t="s">
        <v>371</v>
      </c>
      <c r="F561" s="202"/>
      <c r="G561" s="74">
        <f aca="true" t="shared" si="94" ref="G561:I562">G562</f>
        <v>35328.600000000006</v>
      </c>
      <c r="H561" s="74">
        <f t="shared" si="94"/>
        <v>35412.8</v>
      </c>
      <c r="I561" s="74">
        <f t="shared" si="94"/>
        <v>-84.19999999999709</v>
      </c>
    </row>
    <row r="562" spans="1:9" s="32" customFormat="1" ht="15.75">
      <c r="A562" s="128" t="s">
        <v>220</v>
      </c>
      <c r="B562" s="111"/>
      <c r="C562" s="174" t="s">
        <v>152</v>
      </c>
      <c r="D562" s="174" t="s">
        <v>181</v>
      </c>
      <c r="E562" s="200" t="s">
        <v>371</v>
      </c>
      <c r="F562" s="202" t="s">
        <v>206</v>
      </c>
      <c r="G562" s="74">
        <f t="shared" si="94"/>
        <v>35328.600000000006</v>
      </c>
      <c r="H562" s="74">
        <f t="shared" si="94"/>
        <v>35412.8</v>
      </c>
      <c r="I562" s="74">
        <f t="shared" si="94"/>
        <v>-84.19999999999709</v>
      </c>
    </row>
    <row r="563" spans="1:9" s="44" customFormat="1" ht="15.75">
      <c r="A563" s="135" t="s">
        <v>221</v>
      </c>
      <c r="B563" s="111"/>
      <c r="C563" s="174" t="s">
        <v>152</v>
      </c>
      <c r="D563" s="174" t="s">
        <v>181</v>
      </c>
      <c r="E563" s="200" t="s">
        <v>371</v>
      </c>
      <c r="F563" s="202" t="s">
        <v>222</v>
      </c>
      <c r="G563" s="74">
        <f>35212.8+200-84.2</f>
        <v>35328.600000000006</v>
      </c>
      <c r="H563" s="74">
        <f>35212.8+200</f>
        <v>35412.8</v>
      </c>
      <c r="I563" s="74">
        <f>G563-H563</f>
        <v>-84.19999999999709</v>
      </c>
    </row>
    <row r="564" spans="1:9" s="44" customFormat="1" ht="15.75">
      <c r="A564" s="144" t="s">
        <v>253</v>
      </c>
      <c r="B564" s="111"/>
      <c r="C564" s="174" t="s">
        <v>152</v>
      </c>
      <c r="D564" s="174" t="s">
        <v>181</v>
      </c>
      <c r="E564" s="200" t="s">
        <v>372</v>
      </c>
      <c r="F564" s="202"/>
      <c r="G564" s="74">
        <f aca="true" t="shared" si="95" ref="G564:I565">G565</f>
        <v>192.827</v>
      </c>
      <c r="H564" s="74">
        <f t="shared" si="95"/>
        <v>192.827</v>
      </c>
      <c r="I564" s="74">
        <f t="shared" si="95"/>
        <v>0</v>
      </c>
    </row>
    <row r="565" spans="1:9" s="44" customFormat="1" ht="17.25" customHeight="1">
      <c r="A565" s="128" t="s">
        <v>220</v>
      </c>
      <c r="B565" s="111"/>
      <c r="C565" s="174" t="s">
        <v>152</v>
      </c>
      <c r="D565" s="174" t="s">
        <v>181</v>
      </c>
      <c r="E565" s="200" t="s">
        <v>372</v>
      </c>
      <c r="F565" s="202" t="s">
        <v>206</v>
      </c>
      <c r="G565" s="74">
        <f t="shared" si="95"/>
        <v>192.827</v>
      </c>
      <c r="H565" s="74">
        <f t="shared" si="95"/>
        <v>192.827</v>
      </c>
      <c r="I565" s="74">
        <f t="shared" si="95"/>
        <v>0</v>
      </c>
    </row>
    <row r="566" spans="1:9" s="44" customFormat="1" ht="15.75">
      <c r="A566" s="135" t="s">
        <v>221</v>
      </c>
      <c r="B566" s="111"/>
      <c r="C566" s="174" t="s">
        <v>152</v>
      </c>
      <c r="D566" s="174" t="s">
        <v>181</v>
      </c>
      <c r="E566" s="200" t="s">
        <v>372</v>
      </c>
      <c r="F566" s="202" t="s">
        <v>222</v>
      </c>
      <c r="G566" s="74">
        <v>192.827</v>
      </c>
      <c r="H566" s="74">
        <v>192.827</v>
      </c>
      <c r="I566" s="74">
        <f>G566-H566</f>
        <v>0</v>
      </c>
    </row>
    <row r="567" spans="1:9" s="32" customFormat="1" ht="15.75">
      <c r="A567" s="172" t="s">
        <v>126</v>
      </c>
      <c r="B567" s="111"/>
      <c r="C567" s="174" t="s">
        <v>152</v>
      </c>
      <c r="D567" s="174" t="s">
        <v>181</v>
      </c>
      <c r="E567" s="200" t="s">
        <v>373</v>
      </c>
      <c r="F567" s="202"/>
      <c r="G567" s="74">
        <f aca="true" t="shared" si="96" ref="G567:I568">G568</f>
        <v>145.8</v>
      </c>
      <c r="H567" s="74">
        <f t="shared" si="96"/>
        <v>145.8</v>
      </c>
      <c r="I567" s="74">
        <f t="shared" si="96"/>
        <v>0</v>
      </c>
    </row>
    <row r="568" spans="1:9" s="32" customFormat="1" ht="15.75">
      <c r="A568" s="128" t="s">
        <v>220</v>
      </c>
      <c r="B568" s="111"/>
      <c r="C568" s="174" t="s">
        <v>152</v>
      </c>
      <c r="D568" s="174" t="s">
        <v>181</v>
      </c>
      <c r="E568" s="200" t="s">
        <v>373</v>
      </c>
      <c r="F568" s="202" t="s">
        <v>206</v>
      </c>
      <c r="G568" s="74">
        <f t="shared" si="96"/>
        <v>145.8</v>
      </c>
      <c r="H568" s="74">
        <f t="shared" si="96"/>
        <v>145.8</v>
      </c>
      <c r="I568" s="74">
        <f t="shared" si="96"/>
        <v>0</v>
      </c>
    </row>
    <row r="569" spans="1:9" s="34" customFormat="1" ht="15.75">
      <c r="A569" s="135" t="s">
        <v>221</v>
      </c>
      <c r="B569" s="111"/>
      <c r="C569" s="174" t="s">
        <v>152</v>
      </c>
      <c r="D569" s="174" t="s">
        <v>181</v>
      </c>
      <c r="E569" s="200" t="s">
        <v>373</v>
      </c>
      <c r="F569" s="202" t="s">
        <v>222</v>
      </c>
      <c r="G569" s="74">
        <v>145.8</v>
      </c>
      <c r="H569" s="74">
        <v>145.8</v>
      </c>
      <c r="I569" s="74">
        <f>G569-H569</f>
        <v>0</v>
      </c>
    </row>
    <row r="570" spans="1:9" s="32" customFormat="1" ht="18.75" customHeight="1">
      <c r="A570" s="144" t="s">
        <v>432</v>
      </c>
      <c r="B570" s="137"/>
      <c r="C570" s="174" t="s">
        <v>152</v>
      </c>
      <c r="D570" s="174" t="s">
        <v>181</v>
      </c>
      <c r="E570" s="200" t="s">
        <v>570</v>
      </c>
      <c r="F570" s="202"/>
      <c r="G570" s="74">
        <f aca="true" t="shared" si="97" ref="G570:I571">G571</f>
        <v>114.244</v>
      </c>
      <c r="H570" s="74">
        <f t="shared" si="97"/>
        <v>114.244</v>
      </c>
      <c r="I570" s="74">
        <f t="shared" si="97"/>
        <v>0</v>
      </c>
    </row>
    <row r="571" spans="1:9" s="32" customFormat="1" ht="15.75">
      <c r="A571" s="128" t="s">
        <v>220</v>
      </c>
      <c r="B571" s="137"/>
      <c r="C571" s="174" t="s">
        <v>152</v>
      </c>
      <c r="D571" s="174" t="s">
        <v>181</v>
      </c>
      <c r="E571" s="200" t="s">
        <v>570</v>
      </c>
      <c r="F571" s="202" t="s">
        <v>206</v>
      </c>
      <c r="G571" s="74">
        <f t="shared" si="97"/>
        <v>114.244</v>
      </c>
      <c r="H571" s="74">
        <f t="shared" si="97"/>
        <v>114.244</v>
      </c>
      <c r="I571" s="74">
        <f t="shared" si="97"/>
        <v>0</v>
      </c>
    </row>
    <row r="572" spans="1:9" s="34" customFormat="1" ht="15.75">
      <c r="A572" s="135" t="s">
        <v>221</v>
      </c>
      <c r="B572" s="137"/>
      <c r="C572" s="174" t="s">
        <v>152</v>
      </c>
      <c r="D572" s="174" t="s">
        <v>181</v>
      </c>
      <c r="E572" s="200" t="s">
        <v>570</v>
      </c>
      <c r="F572" s="202" t="s">
        <v>222</v>
      </c>
      <c r="G572" s="74">
        <v>114.244</v>
      </c>
      <c r="H572" s="74">
        <v>114.244</v>
      </c>
      <c r="I572" s="74">
        <f>G572-H572</f>
        <v>0</v>
      </c>
    </row>
    <row r="573" spans="1:9" s="32" customFormat="1" ht="18.75" customHeight="1">
      <c r="A573" s="144" t="s">
        <v>323</v>
      </c>
      <c r="B573" s="137"/>
      <c r="C573" s="174" t="s">
        <v>152</v>
      </c>
      <c r="D573" s="174" t="s">
        <v>181</v>
      </c>
      <c r="E573" s="200" t="s">
        <v>376</v>
      </c>
      <c r="F573" s="202"/>
      <c r="G573" s="74">
        <f aca="true" t="shared" si="98" ref="G573:I574">G574</f>
        <v>166.5</v>
      </c>
      <c r="H573" s="74">
        <f t="shared" si="98"/>
        <v>166.5</v>
      </c>
      <c r="I573" s="74">
        <f t="shared" si="98"/>
        <v>0</v>
      </c>
    </row>
    <row r="574" spans="1:9" s="32" customFormat="1" ht="15.75">
      <c r="A574" s="128" t="s">
        <v>220</v>
      </c>
      <c r="B574" s="137"/>
      <c r="C574" s="174" t="s">
        <v>152</v>
      </c>
      <c r="D574" s="174" t="s">
        <v>181</v>
      </c>
      <c r="E574" s="200" t="s">
        <v>376</v>
      </c>
      <c r="F574" s="202" t="s">
        <v>206</v>
      </c>
      <c r="G574" s="74">
        <f t="shared" si="98"/>
        <v>166.5</v>
      </c>
      <c r="H574" s="74">
        <f t="shared" si="98"/>
        <v>166.5</v>
      </c>
      <c r="I574" s="74">
        <f t="shared" si="98"/>
        <v>0</v>
      </c>
    </row>
    <row r="575" spans="1:9" s="34" customFormat="1" ht="15.75">
      <c r="A575" s="135" t="s">
        <v>221</v>
      </c>
      <c r="B575" s="137"/>
      <c r="C575" s="174" t="s">
        <v>152</v>
      </c>
      <c r="D575" s="174" t="s">
        <v>181</v>
      </c>
      <c r="E575" s="200" t="s">
        <v>376</v>
      </c>
      <c r="F575" s="202" t="s">
        <v>222</v>
      </c>
      <c r="G575" s="74">
        <f>186.5-20</f>
        <v>166.5</v>
      </c>
      <c r="H575" s="74">
        <f>186.5-20</f>
        <v>166.5</v>
      </c>
      <c r="I575" s="74">
        <f>G575-H575</f>
        <v>0</v>
      </c>
    </row>
    <row r="576" spans="1:9" s="32" customFormat="1" ht="18.75" customHeight="1">
      <c r="A576" s="144" t="s">
        <v>325</v>
      </c>
      <c r="B576" s="137"/>
      <c r="C576" s="174" t="s">
        <v>152</v>
      </c>
      <c r="D576" s="174" t="s">
        <v>181</v>
      </c>
      <c r="E576" s="200" t="s">
        <v>374</v>
      </c>
      <c r="F576" s="202"/>
      <c r="G576" s="74">
        <f aca="true" t="shared" si="99" ref="G576:I577">G577</f>
        <v>340.6</v>
      </c>
      <c r="H576" s="74">
        <f t="shared" si="99"/>
        <v>340.6</v>
      </c>
      <c r="I576" s="74">
        <f t="shared" si="99"/>
        <v>0</v>
      </c>
    </row>
    <row r="577" spans="1:9" s="32" customFormat="1" ht="15.75">
      <c r="A577" s="128" t="s">
        <v>220</v>
      </c>
      <c r="B577" s="137"/>
      <c r="C577" s="174" t="s">
        <v>152</v>
      </c>
      <c r="D577" s="174" t="s">
        <v>181</v>
      </c>
      <c r="E577" s="200" t="s">
        <v>374</v>
      </c>
      <c r="F577" s="202" t="s">
        <v>206</v>
      </c>
      <c r="G577" s="74">
        <f t="shared" si="99"/>
        <v>340.6</v>
      </c>
      <c r="H577" s="74">
        <f t="shared" si="99"/>
        <v>340.6</v>
      </c>
      <c r="I577" s="74">
        <f t="shared" si="99"/>
        <v>0</v>
      </c>
    </row>
    <row r="578" spans="1:9" s="34" customFormat="1" ht="15.75">
      <c r="A578" s="135" t="s">
        <v>221</v>
      </c>
      <c r="B578" s="137"/>
      <c r="C578" s="174" t="s">
        <v>152</v>
      </c>
      <c r="D578" s="174" t="s">
        <v>181</v>
      </c>
      <c r="E578" s="200" t="s">
        <v>374</v>
      </c>
      <c r="F578" s="202" t="s">
        <v>222</v>
      </c>
      <c r="G578" s="74">
        <v>340.6</v>
      </c>
      <c r="H578" s="74">
        <v>340.6</v>
      </c>
      <c r="I578" s="74">
        <f>G578-H578</f>
        <v>0</v>
      </c>
    </row>
    <row r="579" spans="1:9" s="32" customFormat="1" ht="15.75">
      <c r="A579" s="144" t="s">
        <v>326</v>
      </c>
      <c r="B579" s="137"/>
      <c r="C579" s="174" t="s">
        <v>152</v>
      </c>
      <c r="D579" s="174" t="s">
        <v>181</v>
      </c>
      <c r="E579" s="200" t="s">
        <v>375</v>
      </c>
      <c r="F579" s="202"/>
      <c r="G579" s="74">
        <f aca="true" t="shared" si="100" ref="G579:I583">G580</f>
        <v>14.8</v>
      </c>
      <c r="H579" s="74">
        <f t="shared" si="100"/>
        <v>14.8</v>
      </c>
      <c r="I579" s="74">
        <f t="shared" si="100"/>
        <v>0</v>
      </c>
    </row>
    <row r="580" spans="1:9" s="32" customFormat="1" ht="15.75">
      <c r="A580" s="128" t="s">
        <v>220</v>
      </c>
      <c r="B580" s="137"/>
      <c r="C580" s="174" t="s">
        <v>152</v>
      </c>
      <c r="D580" s="174" t="s">
        <v>181</v>
      </c>
      <c r="E580" s="200" t="s">
        <v>375</v>
      </c>
      <c r="F580" s="202" t="s">
        <v>206</v>
      </c>
      <c r="G580" s="74">
        <f t="shared" si="100"/>
        <v>14.8</v>
      </c>
      <c r="H580" s="74">
        <f t="shared" si="100"/>
        <v>14.8</v>
      </c>
      <c r="I580" s="74">
        <f t="shared" si="100"/>
        <v>0</v>
      </c>
    </row>
    <row r="581" spans="1:9" s="32" customFormat="1" ht="15.75">
      <c r="A581" s="135" t="s">
        <v>221</v>
      </c>
      <c r="B581" s="137"/>
      <c r="C581" s="174" t="s">
        <v>152</v>
      </c>
      <c r="D581" s="174" t="s">
        <v>181</v>
      </c>
      <c r="E581" s="200" t="s">
        <v>375</v>
      </c>
      <c r="F581" s="202" t="s">
        <v>222</v>
      </c>
      <c r="G581" s="74">
        <v>14.8</v>
      </c>
      <c r="H581" s="74">
        <v>14.8</v>
      </c>
      <c r="I581" s="74">
        <f>G581-H581</f>
        <v>0</v>
      </c>
    </row>
    <row r="582" spans="1:9" s="32" customFormat="1" ht="15.75">
      <c r="A582" s="144" t="s">
        <v>680</v>
      </c>
      <c r="B582" s="137"/>
      <c r="C582" s="174" t="s">
        <v>152</v>
      </c>
      <c r="D582" s="174" t="s">
        <v>181</v>
      </c>
      <c r="E582" s="200" t="s">
        <v>687</v>
      </c>
      <c r="F582" s="202"/>
      <c r="G582" s="74">
        <f t="shared" si="100"/>
        <v>603.6</v>
      </c>
      <c r="H582" s="74">
        <f t="shared" si="100"/>
        <v>603.6</v>
      </c>
      <c r="I582" s="74">
        <f t="shared" si="100"/>
        <v>0</v>
      </c>
    </row>
    <row r="583" spans="1:9" s="32" customFormat="1" ht="15.75">
      <c r="A583" s="128" t="s">
        <v>220</v>
      </c>
      <c r="B583" s="137"/>
      <c r="C583" s="174" t="s">
        <v>152</v>
      </c>
      <c r="D583" s="174" t="s">
        <v>181</v>
      </c>
      <c r="E583" s="200" t="s">
        <v>687</v>
      </c>
      <c r="F583" s="202" t="s">
        <v>206</v>
      </c>
      <c r="G583" s="74">
        <f t="shared" si="100"/>
        <v>603.6</v>
      </c>
      <c r="H583" s="74">
        <f t="shared" si="100"/>
        <v>603.6</v>
      </c>
      <c r="I583" s="74">
        <f t="shared" si="100"/>
        <v>0</v>
      </c>
    </row>
    <row r="584" spans="1:9" s="32" customFormat="1" ht="15.75">
      <c r="A584" s="135" t="s">
        <v>221</v>
      </c>
      <c r="B584" s="137"/>
      <c r="C584" s="174" t="s">
        <v>152</v>
      </c>
      <c r="D584" s="174" t="s">
        <v>181</v>
      </c>
      <c r="E584" s="200" t="s">
        <v>687</v>
      </c>
      <c r="F584" s="202" t="s">
        <v>222</v>
      </c>
      <c r="G584" s="74">
        <v>603.6</v>
      </c>
      <c r="H584" s="74">
        <v>603.6</v>
      </c>
      <c r="I584" s="74">
        <f>G584-H584</f>
        <v>0</v>
      </c>
    </row>
    <row r="585" spans="1:9" s="32" customFormat="1" ht="36.75">
      <c r="A585" s="264" t="s">
        <v>694</v>
      </c>
      <c r="B585" s="137"/>
      <c r="C585" s="174" t="s">
        <v>152</v>
      </c>
      <c r="D585" s="174" t="s">
        <v>181</v>
      </c>
      <c r="E585" s="208" t="s">
        <v>696</v>
      </c>
      <c r="F585" s="208"/>
      <c r="G585" s="99">
        <f aca="true" t="shared" si="101" ref="G585:I589">G586</f>
        <v>0</v>
      </c>
      <c r="H585" s="99">
        <f t="shared" si="101"/>
        <v>700.4</v>
      </c>
      <c r="I585" s="99">
        <f t="shared" si="101"/>
        <v>-700.4</v>
      </c>
    </row>
    <row r="586" spans="1:9" s="32" customFormat="1" ht="15.75">
      <c r="A586" s="261" t="s">
        <v>220</v>
      </c>
      <c r="B586" s="137"/>
      <c r="C586" s="174" t="s">
        <v>152</v>
      </c>
      <c r="D586" s="174" t="s">
        <v>181</v>
      </c>
      <c r="E586" s="208" t="s">
        <v>696</v>
      </c>
      <c r="F586" s="208" t="s">
        <v>206</v>
      </c>
      <c r="G586" s="99">
        <f t="shared" si="101"/>
        <v>0</v>
      </c>
      <c r="H586" s="99">
        <f t="shared" si="101"/>
        <v>700.4</v>
      </c>
      <c r="I586" s="99">
        <f t="shared" si="101"/>
        <v>-700.4</v>
      </c>
    </row>
    <row r="587" spans="1:9" s="32" customFormat="1" ht="15.75">
      <c r="A587" s="262" t="s">
        <v>221</v>
      </c>
      <c r="B587" s="137"/>
      <c r="C587" s="174" t="s">
        <v>152</v>
      </c>
      <c r="D587" s="174" t="s">
        <v>181</v>
      </c>
      <c r="E587" s="208" t="s">
        <v>696</v>
      </c>
      <c r="F587" s="208" t="s">
        <v>222</v>
      </c>
      <c r="G587" s="99">
        <v>0</v>
      </c>
      <c r="H587" s="99">
        <v>700.4</v>
      </c>
      <c r="I587" s="74">
        <f>G587-H587</f>
        <v>-700.4</v>
      </c>
    </row>
    <row r="588" spans="1:9" s="32" customFormat="1" ht="36.75">
      <c r="A588" s="264" t="s">
        <v>694</v>
      </c>
      <c r="B588" s="137"/>
      <c r="C588" s="174" t="s">
        <v>152</v>
      </c>
      <c r="D588" s="174" t="s">
        <v>181</v>
      </c>
      <c r="E588" s="208" t="s">
        <v>700</v>
      </c>
      <c r="F588" s="208"/>
      <c r="G588" s="99">
        <f t="shared" si="101"/>
        <v>1203.1000000000001</v>
      </c>
      <c r="H588" s="99">
        <f t="shared" si="101"/>
        <v>0</v>
      </c>
      <c r="I588" s="99">
        <f t="shared" si="101"/>
        <v>1203.1000000000001</v>
      </c>
    </row>
    <row r="589" spans="1:9" s="32" customFormat="1" ht="15.75">
      <c r="A589" s="261" t="s">
        <v>220</v>
      </c>
      <c r="B589" s="137"/>
      <c r="C589" s="174" t="s">
        <v>152</v>
      </c>
      <c r="D589" s="174" t="s">
        <v>181</v>
      </c>
      <c r="E589" s="208" t="s">
        <v>700</v>
      </c>
      <c r="F589" s="208" t="s">
        <v>206</v>
      </c>
      <c r="G589" s="99">
        <f t="shared" si="101"/>
        <v>1203.1000000000001</v>
      </c>
      <c r="H589" s="99">
        <f t="shared" si="101"/>
        <v>0</v>
      </c>
      <c r="I589" s="99">
        <f t="shared" si="101"/>
        <v>1203.1000000000001</v>
      </c>
    </row>
    <row r="590" spans="1:9" s="32" customFormat="1" ht="15.75">
      <c r="A590" s="262" t="s">
        <v>221</v>
      </c>
      <c r="B590" s="137"/>
      <c r="C590" s="174" t="s">
        <v>152</v>
      </c>
      <c r="D590" s="174" t="s">
        <v>181</v>
      </c>
      <c r="E590" s="208" t="s">
        <v>700</v>
      </c>
      <c r="F590" s="208" t="s">
        <v>222</v>
      </c>
      <c r="G590" s="99">
        <f>700.4+418.5+84.2</f>
        <v>1203.1000000000001</v>
      </c>
      <c r="H590" s="99">
        <v>0</v>
      </c>
      <c r="I590" s="74">
        <f>G590-H590</f>
        <v>1203.1000000000001</v>
      </c>
    </row>
    <row r="591" spans="1:9" s="32" customFormat="1" ht="39">
      <c r="A591" s="150" t="s">
        <v>295</v>
      </c>
      <c r="B591" s="149"/>
      <c r="C591" s="152" t="s">
        <v>152</v>
      </c>
      <c r="D591" s="152" t="s">
        <v>181</v>
      </c>
      <c r="E591" s="210" t="s">
        <v>377</v>
      </c>
      <c r="F591" s="208"/>
      <c r="G591" s="99">
        <f aca="true" t="shared" si="102" ref="G591:I595">G592</f>
        <v>151</v>
      </c>
      <c r="H591" s="99">
        <f t="shared" si="102"/>
        <v>151</v>
      </c>
      <c r="I591" s="99">
        <f t="shared" si="102"/>
        <v>0</v>
      </c>
    </row>
    <row r="592" spans="1:9" s="32" customFormat="1" ht="15.75">
      <c r="A592" s="147" t="s">
        <v>220</v>
      </c>
      <c r="B592" s="149"/>
      <c r="C592" s="152" t="s">
        <v>152</v>
      </c>
      <c r="D592" s="152" t="s">
        <v>181</v>
      </c>
      <c r="E592" s="210" t="s">
        <v>377</v>
      </c>
      <c r="F592" s="208" t="s">
        <v>206</v>
      </c>
      <c r="G592" s="99">
        <f t="shared" si="102"/>
        <v>151</v>
      </c>
      <c r="H592" s="99">
        <f t="shared" si="102"/>
        <v>151</v>
      </c>
      <c r="I592" s="99">
        <f t="shared" si="102"/>
        <v>0</v>
      </c>
    </row>
    <row r="593" spans="1:9" s="32" customFormat="1" ht="15.75">
      <c r="A593" s="148" t="s">
        <v>221</v>
      </c>
      <c r="B593" s="149"/>
      <c r="C593" s="152" t="s">
        <v>152</v>
      </c>
      <c r="D593" s="152" t="s">
        <v>181</v>
      </c>
      <c r="E593" s="210" t="s">
        <v>377</v>
      </c>
      <c r="F593" s="208" t="s">
        <v>222</v>
      </c>
      <c r="G593" s="99">
        <f>140+11</f>
        <v>151</v>
      </c>
      <c r="H593" s="99">
        <f>140+11</f>
        <v>151</v>
      </c>
      <c r="I593" s="74">
        <f>G593-H593</f>
        <v>0</v>
      </c>
    </row>
    <row r="594" spans="1:9" s="32" customFormat="1" ht="26.25">
      <c r="A594" s="150" t="s">
        <v>657</v>
      </c>
      <c r="B594" s="149"/>
      <c r="C594" s="152" t="s">
        <v>152</v>
      </c>
      <c r="D594" s="152" t="s">
        <v>181</v>
      </c>
      <c r="E594" s="210" t="s">
        <v>656</v>
      </c>
      <c r="F594" s="208"/>
      <c r="G594" s="99">
        <f t="shared" si="102"/>
        <v>645.2</v>
      </c>
      <c r="H594" s="99">
        <f t="shared" si="102"/>
        <v>645.2</v>
      </c>
      <c r="I594" s="99">
        <f t="shared" si="102"/>
        <v>0</v>
      </c>
    </row>
    <row r="595" spans="1:9" s="32" customFormat="1" ht="15.75">
      <c r="A595" s="147" t="s">
        <v>220</v>
      </c>
      <c r="B595" s="149"/>
      <c r="C595" s="152" t="s">
        <v>152</v>
      </c>
      <c r="D595" s="152" t="s">
        <v>181</v>
      </c>
      <c r="E595" s="210" t="s">
        <v>656</v>
      </c>
      <c r="F595" s="208" t="s">
        <v>206</v>
      </c>
      <c r="G595" s="99">
        <f t="shared" si="102"/>
        <v>645.2</v>
      </c>
      <c r="H595" s="99">
        <f t="shared" si="102"/>
        <v>645.2</v>
      </c>
      <c r="I595" s="99">
        <f t="shared" si="102"/>
        <v>0</v>
      </c>
    </row>
    <row r="596" spans="1:9" s="32" customFormat="1" ht="15.75">
      <c r="A596" s="148" t="s">
        <v>221</v>
      </c>
      <c r="B596" s="149"/>
      <c r="C596" s="152" t="s">
        <v>152</v>
      </c>
      <c r="D596" s="152" t="s">
        <v>181</v>
      </c>
      <c r="E596" s="210" t="s">
        <v>656</v>
      </c>
      <c r="F596" s="208" t="s">
        <v>222</v>
      </c>
      <c r="G596" s="99">
        <v>645.2</v>
      </c>
      <c r="H596" s="99">
        <v>645.2</v>
      </c>
      <c r="I596" s="74">
        <f>G596-H596</f>
        <v>0</v>
      </c>
    </row>
    <row r="597" spans="1:9" s="32" customFormat="1" ht="26.25">
      <c r="A597" s="150" t="s">
        <v>612</v>
      </c>
      <c r="B597" s="149"/>
      <c r="C597" s="152" t="s">
        <v>152</v>
      </c>
      <c r="D597" s="152" t="s">
        <v>181</v>
      </c>
      <c r="E597" s="208" t="s">
        <v>611</v>
      </c>
      <c r="F597" s="208"/>
      <c r="G597" s="99">
        <f>G598</f>
        <v>59.7</v>
      </c>
      <c r="H597" s="99">
        <f>H598</f>
        <v>59.7</v>
      </c>
      <c r="I597" s="74">
        <f>G597-H597</f>
        <v>0</v>
      </c>
    </row>
    <row r="598" spans="1:9" s="32" customFormat="1" ht="15.75">
      <c r="A598" s="147" t="s">
        <v>220</v>
      </c>
      <c r="B598" s="149"/>
      <c r="C598" s="152" t="s">
        <v>152</v>
      </c>
      <c r="D598" s="152" t="s">
        <v>181</v>
      </c>
      <c r="E598" s="208" t="s">
        <v>611</v>
      </c>
      <c r="F598" s="208" t="s">
        <v>206</v>
      </c>
      <c r="G598" s="99">
        <f>G599</f>
        <v>59.7</v>
      </c>
      <c r="H598" s="99">
        <f>H599</f>
        <v>59.7</v>
      </c>
      <c r="I598" s="74">
        <f>G598-H598</f>
        <v>0</v>
      </c>
    </row>
    <row r="599" spans="1:9" s="32" customFormat="1" ht="15.75">
      <c r="A599" s="151" t="s">
        <v>221</v>
      </c>
      <c r="B599" s="149"/>
      <c r="C599" s="152" t="s">
        <v>152</v>
      </c>
      <c r="D599" s="152" t="s">
        <v>181</v>
      </c>
      <c r="E599" s="208" t="s">
        <v>611</v>
      </c>
      <c r="F599" s="208" t="s">
        <v>222</v>
      </c>
      <c r="G599" s="99">
        <v>59.7</v>
      </c>
      <c r="H599" s="99">
        <v>59.7</v>
      </c>
      <c r="I599" s="74">
        <f>G599-H599</f>
        <v>0</v>
      </c>
    </row>
    <row r="600" spans="1:9" s="32" customFormat="1" ht="15.75">
      <c r="A600" s="106" t="s">
        <v>273</v>
      </c>
      <c r="B600" s="107"/>
      <c r="C600" s="173" t="s">
        <v>152</v>
      </c>
      <c r="D600" s="173" t="s">
        <v>152</v>
      </c>
      <c r="E600" s="201"/>
      <c r="F600" s="203"/>
      <c r="G600" s="78">
        <f>G601</f>
        <v>1035.8</v>
      </c>
      <c r="H600" s="78">
        <f>H601</f>
        <v>1035.8</v>
      </c>
      <c r="I600" s="78">
        <f>I601</f>
        <v>0</v>
      </c>
    </row>
    <row r="601" spans="1:9" s="32" customFormat="1" ht="15.75">
      <c r="A601" s="134" t="s">
        <v>438</v>
      </c>
      <c r="B601" s="107"/>
      <c r="C601" s="173" t="s">
        <v>152</v>
      </c>
      <c r="D601" s="173" t="s">
        <v>152</v>
      </c>
      <c r="E601" s="201" t="s">
        <v>439</v>
      </c>
      <c r="F601" s="203"/>
      <c r="G601" s="78">
        <f>G602+G609+G612+G615</f>
        <v>1035.8</v>
      </c>
      <c r="H601" s="78">
        <f>H602+H609+H612+H615</f>
        <v>1035.8</v>
      </c>
      <c r="I601" s="78">
        <f>I602+I609+I612+I615</f>
        <v>0</v>
      </c>
    </row>
    <row r="602" spans="1:9" s="32" customFormat="1" ht="15.75">
      <c r="A602" s="165" t="s">
        <v>115</v>
      </c>
      <c r="B602" s="137"/>
      <c r="C602" s="174" t="s">
        <v>152</v>
      </c>
      <c r="D602" s="174" t="s">
        <v>152</v>
      </c>
      <c r="E602" s="200" t="s">
        <v>464</v>
      </c>
      <c r="F602" s="202"/>
      <c r="G602" s="74">
        <f>G604+G606+G608</f>
        <v>335</v>
      </c>
      <c r="H602" s="74">
        <f>H604+H606+H608</f>
        <v>335</v>
      </c>
      <c r="I602" s="74">
        <f>I604+I606+I608</f>
        <v>0</v>
      </c>
    </row>
    <row r="603" spans="1:9" s="32" customFormat="1" ht="25.5">
      <c r="A603" s="110" t="s">
        <v>139</v>
      </c>
      <c r="B603" s="137"/>
      <c r="C603" s="174" t="s">
        <v>152</v>
      </c>
      <c r="D603" s="174" t="s">
        <v>152</v>
      </c>
      <c r="E603" s="200" t="s">
        <v>464</v>
      </c>
      <c r="F603" s="202" t="s">
        <v>228</v>
      </c>
      <c r="G603" s="74">
        <f>G604</f>
        <v>65</v>
      </c>
      <c r="H603" s="74">
        <f>H604</f>
        <v>65</v>
      </c>
      <c r="I603" s="74">
        <f>I604</f>
        <v>0</v>
      </c>
    </row>
    <row r="604" spans="1:9" s="32" customFormat="1" ht="15.75">
      <c r="A604" s="144" t="s">
        <v>223</v>
      </c>
      <c r="B604" s="137"/>
      <c r="C604" s="174" t="s">
        <v>152</v>
      </c>
      <c r="D604" s="174" t="s">
        <v>152</v>
      </c>
      <c r="E604" s="200" t="s">
        <v>464</v>
      </c>
      <c r="F604" s="202" t="s">
        <v>224</v>
      </c>
      <c r="G604" s="74">
        <v>65</v>
      </c>
      <c r="H604" s="74">
        <v>65</v>
      </c>
      <c r="I604" s="74">
        <f>G604-H604</f>
        <v>0</v>
      </c>
    </row>
    <row r="605" spans="1:9" s="32" customFormat="1" ht="15.75">
      <c r="A605" s="110" t="s">
        <v>264</v>
      </c>
      <c r="B605" s="137"/>
      <c r="C605" s="174" t="s">
        <v>152</v>
      </c>
      <c r="D605" s="174" t="s">
        <v>152</v>
      </c>
      <c r="E605" s="200" t="s">
        <v>464</v>
      </c>
      <c r="F605" s="202" t="s">
        <v>216</v>
      </c>
      <c r="G605" s="74">
        <f>G606</f>
        <v>60</v>
      </c>
      <c r="H605" s="74">
        <f>H606</f>
        <v>60</v>
      </c>
      <c r="I605" s="74">
        <f>I606</f>
        <v>0</v>
      </c>
    </row>
    <row r="606" spans="1:9" s="32" customFormat="1" ht="15.75">
      <c r="A606" s="144" t="s">
        <v>217</v>
      </c>
      <c r="B606" s="137"/>
      <c r="C606" s="174" t="s">
        <v>152</v>
      </c>
      <c r="D606" s="174" t="s">
        <v>152</v>
      </c>
      <c r="E606" s="200" t="s">
        <v>464</v>
      </c>
      <c r="F606" s="202" t="s">
        <v>215</v>
      </c>
      <c r="G606" s="74">
        <v>60</v>
      </c>
      <c r="H606" s="74">
        <v>60</v>
      </c>
      <c r="I606" s="74">
        <f>G606-H606</f>
        <v>0</v>
      </c>
    </row>
    <row r="607" spans="1:9" s="32" customFormat="1" ht="15.75">
      <c r="A607" s="128" t="s">
        <v>220</v>
      </c>
      <c r="B607" s="137"/>
      <c r="C607" s="174" t="s">
        <v>152</v>
      </c>
      <c r="D607" s="174" t="s">
        <v>152</v>
      </c>
      <c r="E607" s="200" t="s">
        <v>464</v>
      </c>
      <c r="F607" s="202" t="s">
        <v>206</v>
      </c>
      <c r="G607" s="74">
        <f>G608</f>
        <v>210</v>
      </c>
      <c r="H607" s="74">
        <f>H608</f>
        <v>210</v>
      </c>
      <c r="I607" s="74">
        <f>I608</f>
        <v>0</v>
      </c>
    </row>
    <row r="608" spans="1:9" s="32" customFormat="1" ht="15.75">
      <c r="A608" s="135" t="s">
        <v>221</v>
      </c>
      <c r="B608" s="137"/>
      <c r="C608" s="174" t="s">
        <v>152</v>
      </c>
      <c r="D608" s="174" t="s">
        <v>152</v>
      </c>
      <c r="E608" s="200" t="s">
        <v>464</v>
      </c>
      <c r="F608" s="202" t="s">
        <v>222</v>
      </c>
      <c r="G608" s="74">
        <f>140+70</f>
        <v>210</v>
      </c>
      <c r="H608" s="74">
        <f>140+70</f>
        <v>210</v>
      </c>
      <c r="I608" s="74">
        <f>G608-H608</f>
        <v>0</v>
      </c>
    </row>
    <row r="609" spans="1:9" s="32" customFormat="1" ht="15.75">
      <c r="A609" s="165" t="s">
        <v>304</v>
      </c>
      <c r="B609" s="137"/>
      <c r="C609" s="174" t="s">
        <v>152</v>
      </c>
      <c r="D609" s="174" t="s">
        <v>152</v>
      </c>
      <c r="E609" s="200" t="s">
        <v>465</v>
      </c>
      <c r="F609" s="202"/>
      <c r="G609" s="74">
        <f aca="true" t="shared" si="103" ref="G609:I610">G610</f>
        <v>149</v>
      </c>
      <c r="H609" s="74">
        <f t="shared" si="103"/>
        <v>149</v>
      </c>
      <c r="I609" s="74">
        <f t="shared" si="103"/>
        <v>0</v>
      </c>
    </row>
    <row r="610" spans="1:9" s="32" customFormat="1" ht="15.75">
      <c r="A610" s="128" t="s">
        <v>220</v>
      </c>
      <c r="B610" s="137"/>
      <c r="C610" s="174" t="s">
        <v>152</v>
      </c>
      <c r="D610" s="174" t="s">
        <v>152</v>
      </c>
      <c r="E610" s="200" t="s">
        <v>465</v>
      </c>
      <c r="F610" s="202" t="s">
        <v>206</v>
      </c>
      <c r="G610" s="74">
        <f t="shared" si="103"/>
        <v>149</v>
      </c>
      <c r="H610" s="74">
        <f t="shared" si="103"/>
        <v>149</v>
      </c>
      <c r="I610" s="74">
        <f t="shared" si="103"/>
        <v>0</v>
      </c>
    </row>
    <row r="611" spans="1:9" s="32" customFormat="1" ht="15.75">
      <c r="A611" s="135" t="s">
        <v>221</v>
      </c>
      <c r="B611" s="137"/>
      <c r="C611" s="174" t="s">
        <v>152</v>
      </c>
      <c r="D611" s="174" t="s">
        <v>152</v>
      </c>
      <c r="E611" s="200" t="s">
        <v>465</v>
      </c>
      <c r="F611" s="202" t="s">
        <v>222</v>
      </c>
      <c r="G611" s="74">
        <f>99+50</f>
        <v>149</v>
      </c>
      <c r="H611" s="74">
        <f>99+50</f>
        <v>149</v>
      </c>
      <c r="I611" s="74">
        <f>G611-H611</f>
        <v>0</v>
      </c>
    </row>
    <row r="612" spans="1:9" s="32" customFormat="1" ht="15.75">
      <c r="A612" s="135" t="s">
        <v>330</v>
      </c>
      <c r="B612" s="137"/>
      <c r="C612" s="174" t="s">
        <v>152</v>
      </c>
      <c r="D612" s="174" t="s">
        <v>152</v>
      </c>
      <c r="E612" s="200" t="s">
        <v>466</v>
      </c>
      <c r="F612" s="202"/>
      <c r="G612" s="74">
        <f aca="true" t="shared" si="104" ref="G612:I613">G613</f>
        <v>188.8</v>
      </c>
      <c r="H612" s="74">
        <f t="shared" si="104"/>
        <v>188.8</v>
      </c>
      <c r="I612" s="74">
        <f t="shared" si="104"/>
        <v>0</v>
      </c>
    </row>
    <row r="613" spans="1:9" s="36" customFormat="1" ht="15.75">
      <c r="A613" s="128" t="s">
        <v>220</v>
      </c>
      <c r="B613" s="137"/>
      <c r="C613" s="174" t="s">
        <v>152</v>
      </c>
      <c r="D613" s="174" t="s">
        <v>152</v>
      </c>
      <c r="E613" s="200" t="s">
        <v>466</v>
      </c>
      <c r="F613" s="202" t="s">
        <v>206</v>
      </c>
      <c r="G613" s="74">
        <f t="shared" si="104"/>
        <v>188.8</v>
      </c>
      <c r="H613" s="74">
        <f t="shared" si="104"/>
        <v>188.8</v>
      </c>
      <c r="I613" s="74">
        <f t="shared" si="104"/>
        <v>0</v>
      </c>
    </row>
    <row r="614" spans="1:9" s="36" customFormat="1" ht="15.75">
      <c r="A614" s="135" t="s">
        <v>221</v>
      </c>
      <c r="B614" s="137"/>
      <c r="C614" s="174" t="s">
        <v>152</v>
      </c>
      <c r="D614" s="174" t="s">
        <v>152</v>
      </c>
      <c r="E614" s="200" t="s">
        <v>466</v>
      </c>
      <c r="F614" s="202" t="s">
        <v>222</v>
      </c>
      <c r="G614" s="74">
        <f>88.8+100</f>
        <v>188.8</v>
      </c>
      <c r="H614" s="74">
        <f>88.8+100</f>
        <v>188.8</v>
      </c>
      <c r="I614" s="74">
        <f>G614-H614</f>
        <v>0</v>
      </c>
    </row>
    <row r="615" spans="1:9" s="36" customFormat="1" ht="15.75">
      <c r="A615" s="180" t="s">
        <v>380</v>
      </c>
      <c r="B615" s="137"/>
      <c r="C615" s="174" t="s">
        <v>152</v>
      </c>
      <c r="D615" s="174" t="s">
        <v>152</v>
      </c>
      <c r="E615" s="200" t="s">
        <v>487</v>
      </c>
      <c r="F615" s="202"/>
      <c r="G615" s="74">
        <f aca="true" t="shared" si="105" ref="G615:I616">G616</f>
        <v>363</v>
      </c>
      <c r="H615" s="74">
        <f t="shared" si="105"/>
        <v>363</v>
      </c>
      <c r="I615" s="74">
        <f t="shared" si="105"/>
        <v>0</v>
      </c>
    </row>
    <row r="616" spans="1:9" s="36" customFormat="1" ht="15.75">
      <c r="A616" s="128" t="s">
        <v>220</v>
      </c>
      <c r="B616" s="137"/>
      <c r="C616" s="174" t="s">
        <v>152</v>
      </c>
      <c r="D616" s="174" t="s">
        <v>152</v>
      </c>
      <c r="E616" s="200" t="s">
        <v>487</v>
      </c>
      <c r="F616" s="202" t="s">
        <v>206</v>
      </c>
      <c r="G616" s="74">
        <f t="shared" si="105"/>
        <v>363</v>
      </c>
      <c r="H616" s="74">
        <f t="shared" si="105"/>
        <v>363</v>
      </c>
      <c r="I616" s="74">
        <f t="shared" si="105"/>
        <v>0</v>
      </c>
    </row>
    <row r="617" spans="1:9" s="43" customFormat="1" ht="16.5" customHeight="1">
      <c r="A617" s="135" t="s">
        <v>221</v>
      </c>
      <c r="B617" s="137"/>
      <c r="C617" s="174" t="s">
        <v>152</v>
      </c>
      <c r="D617" s="174" t="s">
        <v>152</v>
      </c>
      <c r="E617" s="200" t="s">
        <v>487</v>
      </c>
      <c r="F617" s="202" t="s">
        <v>222</v>
      </c>
      <c r="G617" s="74">
        <f>78+285</f>
        <v>363</v>
      </c>
      <c r="H617" s="74">
        <f>78+285</f>
        <v>363</v>
      </c>
      <c r="I617" s="74">
        <f>G617-H617</f>
        <v>0</v>
      </c>
    </row>
    <row r="618" spans="1:9" s="36" customFormat="1" ht="15.75">
      <c r="A618" s="181" t="s">
        <v>308</v>
      </c>
      <c r="B618" s="107"/>
      <c r="C618" s="173" t="s">
        <v>183</v>
      </c>
      <c r="D618" s="173"/>
      <c r="E618" s="201"/>
      <c r="F618" s="203"/>
      <c r="G618" s="78">
        <f aca="true" t="shared" si="106" ref="G618:H620">G619</f>
        <v>118297.2</v>
      </c>
      <c r="H618" s="78">
        <f t="shared" si="106"/>
        <v>118017.18000000001</v>
      </c>
      <c r="I618" s="78">
        <f>I619</f>
        <v>280.0199999999925</v>
      </c>
    </row>
    <row r="619" spans="1:9" s="36" customFormat="1" ht="15.75">
      <c r="A619" s="181" t="s">
        <v>184</v>
      </c>
      <c r="B619" s="107"/>
      <c r="C619" s="173" t="s">
        <v>183</v>
      </c>
      <c r="D619" s="173" t="s">
        <v>180</v>
      </c>
      <c r="E619" s="201"/>
      <c r="F619" s="203"/>
      <c r="G619" s="78">
        <f t="shared" si="106"/>
        <v>118297.2</v>
      </c>
      <c r="H619" s="78">
        <f t="shared" si="106"/>
        <v>118017.18000000001</v>
      </c>
      <c r="I619" s="78">
        <f>I620</f>
        <v>280.0199999999925</v>
      </c>
    </row>
    <row r="620" spans="1:9" s="36" customFormat="1" ht="15.75" customHeight="1">
      <c r="A620" s="178" t="s">
        <v>387</v>
      </c>
      <c r="B620" s="111"/>
      <c r="C620" s="173" t="s">
        <v>183</v>
      </c>
      <c r="D620" s="173" t="s">
        <v>180</v>
      </c>
      <c r="E620" s="201" t="s">
        <v>86</v>
      </c>
      <c r="F620" s="203"/>
      <c r="G620" s="78">
        <f t="shared" si="106"/>
        <v>118297.2</v>
      </c>
      <c r="H620" s="78">
        <f t="shared" si="106"/>
        <v>118017.18000000001</v>
      </c>
      <c r="I620" s="78">
        <f>I621</f>
        <v>280.0199999999925</v>
      </c>
    </row>
    <row r="621" spans="1:9" s="36" customFormat="1" ht="15.75">
      <c r="A621" s="182" t="s">
        <v>388</v>
      </c>
      <c r="B621" s="107"/>
      <c r="C621" s="173" t="s">
        <v>183</v>
      </c>
      <c r="D621" s="173" t="s">
        <v>180</v>
      </c>
      <c r="E621" s="203" t="s">
        <v>87</v>
      </c>
      <c r="F621" s="202"/>
      <c r="G621" s="78">
        <f>G622+G625+G628+G631+G634+G637+G640+G643+G646+G649+G655+G662+G665+G668+G671+G652+G674+G677</f>
        <v>118297.2</v>
      </c>
      <c r="H621" s="78">
        <f>H622+H625+H628+H631+H634+H637+H640+H643+H646+H649+H655+H662+H665+H668+H671+H652+H674+H677</f>
        <v>118017.18000000001</v>
      </c>
      <c r="I621" s="78">
        <f>I622+I625+I628+I631+I634+I637+I640+I643+I646+I649+I655+I662+I665+I668+I671+I652+I674+I677</f>
        <v>280.0199999999925</v>
      </c>
    </row>
    <row r="622" spans="1:9" s="36" customFormat="1" ht="15.75">
      <c r="A622" s="183" t="s">
        <v>358</v>
      </c>
      <c r="B622" s="111"/>
      <c r="C622" s="174" t="s">
        <v>183</v>
      </c>
      <c r="D622" s="174" t="s">
        <v>180</v>
      </c>
      <c r="E622" s="202" t="s">
        <v>260</v>
      </c>
      <c r="F622" s="202"/>
      <c r="G622" s="74">
        <f aca="true" t="shared" si="107" ref="G622:I623">G623</f>
        <v>22392.3</v>
      </c>
      <c r="H622" s="74">
        <f t="shared" si="107"/>
        <v>22463.9</v>
      </c>
      <c r="I622" s="74">
        <f t="shared" si="107"/>
        <v>-71.60000000000218</v>
      </c>
    </row>
    <row r="623" spans="1:9" s="36" customFormat="1" ht="15.75">
      <c r="A623" s="128" t="s">
        <v>220</v>
      </c>
      <c r="B623" s="111"/>
      <c r="C623" s="174" t="s">
        <v>183</v>
      </c>
      <c r="D623" s="174" t="s">
        <v>180</v>
      </c>
      <c r="E623" s="202" t="s">
        <v>260</v>
      </c>
      <c r="F623" s="202" t="s">
        <v>206</v>
      </c>
      <c r="G623" s="99">
        <f t="shared" si="107"/>
        <v>22392.3</v>
      </c>
      <c r="H623" s="99">
        <f t="shared" si="107"/>
        <v>22463.9</v>
      </c>
      <c r="I623" s="99">
        <f t="shared" si="107"/>
        <v>-71.60000000000218</v>
      </c>
    </row>
    <row r="624" spans="1:9" s="36" customFormat="1" ht="15.75">
      <c r="A624" s="108" t="s">
        <v>221</v>
      </c>
      <c r="B624" s="111"/>
      <c r="C624" s="174" t="s">
        <v>183</v>
      </c>
      <c r="D624" s="174" t="s">
        <v>180</v>
      </c>
      <c r="E624" s="202" t="s">
        <v>260</v>
      </c>
      <c r="F624" s="202" t="s">
        <v>222</v>
      </c>
      <c r="G624" s="99">
        <f>6408.7+10600+3213.8+2169.8</f>
        <v>22392.3</v>
      </c>
      <c r="H624" s="99">
        <f>6408.7+10667.7+3217.7+2169.8</f>
        <v>22463.9</v>
      </c>
      <c r="I624" s="74">
        <f>G624-H624</f>
        <v>-71.60000000000218</v>
      </c>
    </row>
    <row r="625" spans="1:9" s="36" customFormat="1" ht="15.75">
      <c r="A625" s="144" t="s">
        <v>253</v>
      </c>
      <c r="B625" s="111"/>
      <c r="C625" s="174" t="s">
        <v>183</v>
      </c>
      <c r="D625" s="174" t="s">
        <v>180</v>
      </c>
      <c r="E625" s="202" t="s">
        <v>359</v>
      </c>
      <c r="F625" s="202"/>
      <c r="G625" s="74">
        <f aca="true" t="shared" si="108" ref="G625:I626">G626</f>
        <v>14.7</v>
      </c>
      <c r="H625" s="74">
        <f t="shared" si="108"/>
        <v>14.979999999999999</v>
      </c>
      <c r="I625" s="74">
        <f t="shared" si="108"/>
        <v>-0.27999999999999936</v>
      </c>
    </row>
    <row r="626" spans="1:9" s="36" customFormat="1" ht="15.75">
      <c r="A626" s="128" t="s">
        <v>220</v>
      </c>
      <c r="B626" s="111"/>
      <c r="C626" s="174" t="s">
        <v>183</v>
      </c>
      <c r="D626" s="174" t="s">
        <v>180</v>
      </c>
      <c r="E626" s="202" t="s">
        <v>359</v>
      </c>
      <c r="F626" s="202" t="s">
        <v>206</v>
      </c>
      <c r="G626" s="99">
        <f t="shared" si="108"/>
        <v>14.7</v>
      </c>
      <c r="H626" s="99">
        <f t="shared" si="108"/>
        <v>14.979999999999999</v>
      </c>
      <c r="I626" s="99">
        <f t="shared" si="108"/>
        <v>-0.27999999999999936</v>
      </c>
    </row>
    <row r="627" spans="1:9" s="36" customFormat="1" ht="15.75">
      <c r="A627" s="108" t="s">
        <v>221</v>
      </c>
      <c r="B627" s="111"/>
      <c r="C627" s="174" t="s">
        <v>183</v>
      </c>
      <c r="D627" s="174" t="s">
        <v>180</v>
      </c>
      <c r="E627" s="202" t="s">
        <v>359</v>
      </c>
      <c r="F627" s="202" t="s">
        <v>222</v>
      </c>
      <c r="G627" s="99">
        <f>11.9+2.8</f>
        <v>14.7</v>
      </c>
      <c r="H627" s="99">
        <f>12.2+2.78</f>
        <v>14.979999999999999</v>
      </c>
      <c r="I627" s="74">
        <f>G627-H627</f>
        <v>-0.27999999999999936</v>
      </c>
    </row>
    <row r="628" spans="1:9" s="36" customFormat="1" ht="15.75">
      <c r="A628" s="144" t="s">
        <v>328</v>
      </c>
      <c r="B628" s="111"/>
      <c r="C628" s="174" t="s">
        <v>183</v>
      </c>
      <c r="D628" s="174" t="s">
        <v>180</v>
      </c>
      <c r="E628" s="202" t="s">
        <v>360</v>
      </c>
      <c r="F628" s="202"/>
      <c r="G628" s="74">
        <f aca="true" t="shared" si="109" ref="G628:I629">G629</f>
        <v>159.9</v>
      </c>
      <c r="H628" s="74">
        <f t="shared" si="109"/>
        <v>159.9</v>
      </c>
      <c r="I628" s="74">
        <f t="shared" si="109"/>
        <v>0</v>
      </c>
    </row>
    <row r="629" spans="1:9" s="36" customFormat="1" ht="15.75">
      <c r="A629" s="128" t="s">
        <v>220</v>
      </c>
      <c r="B629" s="111"/>
      <c r="C629" s="174" t="s">
        <v>183</v>
      </c>
      <c r="D629" s="174" t="s">
        <v>180</v>
      </c>
      <c r="E629" s="202" t="s">
        <v>360</v>
      </c>
      <c r="F629" s="202" t="s">
        <v>206</v>
      </c>
      <c r="G629" s="99">
        <f t="shared" si="109"/>
        <v>159.9</v>
      </c>
      <c r="H629" s="99">
        <f t="shared" si="109"/>
        <v>159.9</v>
      </c>
      <c r="I629" s="99">
        <f t="shared" si="109"/>
        <v>0</v>
      </c>
    </row>
    <row r="630" spans="1:9" ht="16.5" customHeight="1">
      <c r="A630" s="108" t="s">
        <v>221</v>
      </c>
      <c r="B630" s="111"/>
      <c r="C630" s="174" t="s">
        <v>183</v>
      </c>
      <c r="D630" s="174" t="s">
        <v>180</v>
      </c>
      <c r="E630" s="202" t="s">
        <v>360</v>
      </c>
      <c r="F630" s="202" t="s">
        <v>222</v>
      </c>
      <c r="G630" s="99">
        <f>74.5+54.1+16+15.3</f>
        <v>159.9</v>
      </c>
      <c r="H630" s="99">
        <f>74.5+54.1+16+15.3</f>
        <v>159.9</v>
      </c>
      <c r="I630" s="74">
        <f>G630-H630</f>
        <v>0</v>
      </c>
    </row>
    <row r="631" spans="1:9" ht="15.75">
      <c r="A631" s="108" t="s">
        <v>564</v>
      </c>
      <c r="B631" s="111"/>
      <c r="C631" s="174" t="s">
        <v>183</v>
      </c>
      <c r="D631" s="174" t="s">
        <v>180</v>
      </c>
      <c r="E631" s="202" t="s">
        <v>563</v>
      </c>
      <c r="F631" s="202"/>
      <c r="G631" s="99">
        <f aca="true" t="shared" si="110" ref="G631:I632">G632</f>
        <v>125</v>
      </c>
      <c r="H631" s="99">
        <f t="shared" si="110"/>
        <v>125</v>
      </c>
      <c r="I631" s="99">
        <f t="shared" si="110"/>
        <v>0</v>
      </c>
    </row>
    <row r="632" spans="1:9" ht="15.75">
      <c r="A632" s="128" t="s">
        <v>220</v>
      </c>
      <c r="B632" s="111"/>
      <c r="C632" s="174" t="s">
        <v>183</v>
      </c>
      <c r="D632" s="174" t="s">
        <v>180</v>
      </c>
      <c r="E632" s="202" t="s">
        <v>563</v>
      </c>
      <c r="F632" s="202" t="s">
        <v>206</v>
      </c>
      <c r="G632" s="99">
        <f t="shared" si="110"/>
        <v>125</v>
      </c>
      <c r="H632" s="99">
        <f t="shared" si="110"/>
        <v>125</v>
      </c>
      <c r="I632" s="99">
        <f t="shared" si="110"/>
        <v>0</v>
      </c>
    </row>
    <row r="633" spans="1:9" ht="15.75">
      <c r="A633" s="108" t="s">
        <v>221</v>
      </c>
      <c r="B633" s="111"/>
      <c r="C633" s="174" t="s">
        <v>183</v>
      </c>
      <c r="D633" s="174" t="s">
        <v>180</v>
      </c>
      <c r="E633" s="202" t="s">
        <v>563</v>
      </c>
      <c r="F633" s="202" t="s">
        <v>222</v>
      </c>
      <c r="G633" s="99">
        <f>25+100</f>
        <v>125</v>
      </c>
      <c r="H633" s="99">
        <f>25+100</f>
        <v>125</v>
      </c>
      <c r="I633" s="74">
        <f>G633-H633</f>
        <v>0</v>
      </c>
    </row>
    <row r="634" spans="1:9" ht="18.75" customHeight="1">
      <c r="A634" s="108" t="s">
        <v>562</v>
      </c>
      <c r="B634" s="111"/>
      <c r="C634" s="174" t="s">
        <v>183</v>
      </c>
      <c r="D634" s="174" t="s">
        <v>180</v>
      </c>
      <c r="E634" s="202" t="s">
        <v>561</v>
      </c>
      <c r="F634" s="202"/>
      <c r="G634" s="99">
        <f aca="true" t="shared" si="111" ref="G634:I635">G635</f>
        <v>40</v>
      </c>
      <c r="H634" s="99">
        <f t="shared" si="111"/>
        <v>40</v>
      </c>
      <c r="I634" s="99">
        <f t="shared" si="111"/>
        <v>0</v>
      </c>
    </row>
    <row r="635" spans="1:9" ht="15.75">
      <c r="A635" s="128" t="s">
        <v>220</v>
      </c>
      <c r="B635" s="111"/>
      <c r="C635" s="174" t="s">
        <v>183</v>
      </c>
      <c r="D635" s="174" t="s">
        <v>180</v>
      </c>
      <c r="E635" s="202" t="s">
        <v>561</v>
      </c>
      <c r="F635" s="202" t="s">
        <v>206</v>
      </c>
      <c r="G635" s="99">
        <f t="shared" si="111"/>
        <v>40</v>
      </c>
      <c r="H635" s="99">
        <f t="shared" si="111"/>
        <v>40</v>
      </c>
      <c r="I635" s="99">
        <f t="shared" si="111"/>
        <v>0</v>
      </c>
    </row>
    <row r="636" spans="1:9" ht="16.5" customHeight="1">
      <c r="A636" s="108" t="s">
        <v>221</v>
      </c>
      <c r="B636" s="111"/>
      <c r="C636" s="174" t="s">
        <v>183</v>
      </c>
      <c r="D636" s="174" t="s">
        <v>180</v>
      </c>
      <c r="E636" s="202" t="s">
        <v>561</v>
      </c>
      <c r="F636" s="202" t="s">
        <v>222</v>
      </c>
      <c r="G636" s="99">
        <f>20+20</f>
        <v>40</v>
      </c>
      <c r="H636" s="99">
        <f>20+20</f>
        <v>40</v>
      </c>
      <c r="I636" s="74">
        <f>G636-H636</f>
        <v>0</v>
      </c>
    </row>
    <row r="637" spans="1:9" ht="15.75">
      <c r="A637" s="108" t="s">
        <v>368</v>
      </c>
      <c r="B637" s="111"/>
      <c r="C637" s="174" t="s">
        <v>183</v>
      </c>
      <c r="D637" s="174" t="s">
        <v>180</v>
      </c>
      <c r="E637" s="202" t="s">
        <v>559</v>
      </c>
      <c r="F637" s="202"/>
      <c r="G637" s="99">
        <f aca="true" t="shared" si="112" ref="G637:I638">G638</f>
        <v>50</v>
      </c>
      <c r="H637" s="99">
        <f t="shared" si="112"/>
        <v>50</v>
      </c>
      <c r="I637" s="99">
        <f t="shared" si="112"/>
        <v>0</v>
      </c>
    </row>
    <row r="638" spans="1:9" ht="15.75">
      <c r="A638" s="128" t="s">
        <v>220</v>
      </c>
      <c r="B638" s="111"/>
      <c r="C638" s="174" t="s">
        <v>183</v>
      </c>
      <c r="D638" s="174" t="s">
        <v>180</v>
      </c>
      <c r="E638" s="202" t="s">
        <v>559</v>
      </c>
      <c r="F638" s="202" t="s">
        <v>206</v>
      </c>
      <c r="G638" s="99">
        <f t="shared" si="112"/>
        <v>50</v>
      </c>
      <c r="H638" s="99">
        <f t="shared" si="112"/>
        <v>50</v>
      </c>
      <c r="I638" s="99">
        <f t="shared" si="112"/>
        <v>0</v>
      </c>
    </row>
    <row r="639" spans="1:9" ht="15.75">
      <c r="A639" s="108" t="s">
        <v>221</v>
      </c>
      <c r="B639" s="111"/>
      <c r="C639" s="174" t="s">
        <v>183</v>
      </c>
      <c r="D639" s="174" t="s">
        <v>180</v>
      </c>
      <c r="E639" s="202" t="s">
        <v>559</v>
      </c>
      <c r="F639" s="202" t="s">
        <v>222</v>
      </c>
      <c r="G639" s="99">
        <f>150-100</f>
        <v>50</v>
      </c>
      <c r="H639" s="99">
        <f>150-100</f>
        <v>50</v>
      </c>
      <c r="I639" s="74">
        <f>G639-H639</f>
        <v>0</v>
      </c>
    </row>
    <row r="640" spans="1:9" ht="15.75">
      <c r="A640" s="135" t="s">
        <v>361</v>
      </c>
      <c r="B640" s="111"/>
      <c r="C640" s="174" t="s">
        <v>183</v>
      </c>
      <c r="D640" s="174" t="s">
        <v>180</v>
      </c>
      <c r="E640" s="202" t="s">
        <v>362</v>
      </c>
      <c r="F640" s="202"/>
      <c r="G640" s="99">
        <f aca="true" t="shared" si="113" ref="G640:I641">G641</f>
        <v>127</v>
      </c>
      <c r="H640" s="99">
        <f t="shared" si="113"/>
        <v>127</v>
      </c>
      <c r="I640" s="99">
        <f t="shared" si="113"/>
        <v>0</v>
      </c>
    </row>
    <row r="641" spans="1:9" ht="19.5" customHeight="1">
      <c r="A641" s="128" t="s">
        <v>220</v>
      </c>
      <c r="B641" s="111"/>
      <c r="C641" s="174" t="s">
        <v>183</v>
      </c>
      <c r="D641" s="174" t="s">
        <v>180</v>
      </c>
      <c r="E641" s="202" t="s">
        <v>362</v>
      </c>
      <c r="F641" s="202" t="s">
        <v>206</v>
      </c>
      <c r="G641" s="99">
        <f t="shared" si="113"/>
        <v>127</v>
      </c>
      <c r="H641" s="99">
        <f t="shared" si="113"/>
        <v>127</v>
      </c>
      <c r="I641" s="99">
        <f t="shared" si="113"/>
        <v>0</v>
      </c>
    </row>
    <row r="642" spans="1:9" ht="16.5" customHeight="1">
      <c r="A642" s="108" t="s">
        <v>221</v>
      </c>
      <c r="B642" s="111"/>
      <c r="C642" s="174" t="s">
        <v>183</v>
      </c>
      <c r="D642" s="174" t="s">
        <v>180</v>
      </c>
      <c r="E642" s="202" t="s">
        <v>362</v>
      </c>
      <c r="F642" s="202" t="s">
        <v>222</v>
      </c>
      <c r="G642" s="99">
        <f>70+57</f>
        <v>127</v>
      </c>
      <c r="H642" s="99">
        <f>70+57</f>
        <v>127</v>
      </c>
      <c r="I642" s="74">
        <f>G642-H642</f>
        <v>0</v>
      </c>
    </row>
    <row r="643" spans="1:9" ht="15.75">
      <c r="A643" s="108" t="s">
        <v>325</v>
      </c>
      <c r="B643" s="111"/>
      <c r="C643" s="174" t="s">
        <v>183</v>
      </c>
      <c r="D643" s="174" t="s">
        <v>180</v>
      </c>
      <c r="E643" s="202" t="s">
        <v>363</v>
      </c>
      <c r="F643" s="202"/>
      <c r="G643" s="99">
        <f aca="true" t="shared" si="114" ref="G643:I644">G644</f>
        <v>808.8</v>
      </c>
      <c r="H643" s="99">
        <f t="shared" si="114"/>
        <v>808.8</v>
      </c>
      <c r="I643" s="99">
        <f t="shared" si="114"/>
        <v>0</v>
      </c>
    </row>
    <row r="644" spans="1:9" ht="15.75">
      <c r="A644" s="128" t="s">
        <v>220</v>
      </c>
      <c r="B644" s="111"/>
      <c r="C644" s="174" t="s">
        <v>183</v>
      </c>
      <c r="D644" s="174" t="s">
        <v>180</v>
      </c>
      <c r="E644" s="202" t="s">
        <v>363</v>
      </c>
      <c r="F644" s="202" t="s">
        <v>206</v>
      </c>
      <c r="G644" s="99">
        <f t="shared" si="114"/>
        <v>808.8</v>
      </c>
      <c r="H644" s="99">
        <f t="shared" si="114"/>
        <v>808.8</v>
      </c>
      <c r="I644" s="99">
        <f t="shared" si="114"/>
        <v>0</v>
      </c>
    </row>
    <row r="645" spans="1:9" ht="15.75">
      <c r="A645" s="108" t="s">
        <v>221</v>
      </c>
      <c r="B645" s="111"/>
      <c r="C645" s="174" t="s">
        <v>183</v>
      </c>
      <c r="D645" s="174" t="s">
        <v>180</v>
      </c>
      <c r="E645" s="202" t="s">
        <v>363</v>
      </c>
      <c r="F645" s="202" t="s">
        <v>222</v>
      </c>
      <c r="G645" s="99">
        <f>34.5+635.3+88+51</f>
        <v>808.8</v>
      </c>
      <c r="H645" s="99">
        <f>34.5+635.3+88+51</f>
        <v>808.8</v>
      </c>
      <c r="I645" s="74">
        <f>G645-H645</f>
        <v>0</v>
      </c>
    </row>
    <row r="646" spans="1:9" ht="15.75">
      <c r="A646" s="108" t="s">
        <v>430</v>
      </c>
      <c r="B646" s="111"/>
      <c r="C646" s="174" t="s">
        <v>183</v>
      </c>
      <c r="D646" s="174" t="s">
        <v>180</v>
      </c>
      <c r="E646" s="202" t="s">
        <v>560</v>
      </c>
      <c r="F646" s="202"/>
      <c r="G646" s="99">
        <f aca="true" t="shared" si="115" ref="G646:I647">G647</f>
        <v>308</v>
      </c>
      <c r="H646" s="99">
        <f t="shared" si="115"/>
        <v>308</v>
      </c>
      <c r="I646" s="99">
        <f t="shared" si="115"/>
        <v>0</v>
      </c>
    </row>
    <row r="647" spans="1:9" ht="15.75">
      <c r="A647" s="128" t="s">
        <v>220</v>
      </c>
      <c r="B647" s="111"/>
      <c r="C647" s="174" t="s">
        <v>183</v>
      </c>
      <c r="D647" s="174" t="s">
        <v>180</v>
      </c>
      <c r="E647" s="202" t="s">
        <v>560</v>
      </c>
      <c r="F647" s="202" t="s">
        <v>206</v>
      </c>
      <c r="G647" s="99">
        <f t="shared" si="115"/>
        <v>308</v>
      </c>
      <c r="H647" s="99">
        <f t="shared" si="115"/>
        <v>308</v>
      </c>
      <c r="I647" s="99">
        <f t="shared" si="115"/>
        <v>0</v>
      </c>
    </row>
    <row r="648" spans="1:9" ht="15.75">
      <c r="A648" s="108" t="s">
        <v>221</v>
      </c>
      <c r="B648" s="111"/>
      <c r="C648" s="174" t="s">
        <v>183</v>
      </c>
      <c r="D648" s="174" t="s">
        <v>180</v>
      </c>
      <c r="E648" s="202" t="s">
        <v>560</v>
      </c>
      <c r="F648" s="202" t="s">
        <v>222</v>
      </c>
      <c r="G648" s="99">
        <f>192+116</f>
        <v>308</v>
      </c>
      <c r="H648" s="99">
        <f>192+116</f>
        <v>308</v>
      </c>
      <c r="I648" s="74">
        <f>G648-H648</f>
        <v>0</v>
      </c>
    </row>
    <row r="649" spans="1:9" ht="15.75">
      <c r="A649" s="108" t="s">
        <v>364</v>
      </c>
      <c r="B649" s="111"/>
      <c r="C649" s="174" t="s">
        <v>183</v>
      </c>
      <c r="D649" s="174" t="s">
        <v>180</v>
      </c>
      <c r="E649" s="202" t="s">
        <v>365</v>
      </c>
      <c r="F649" s="202"/>
      <c r="G649" s="99">
        <f aca="true" t="shared" si="116" ref="G649:H653">G650</f>
        <v>20.3</v>
      </c>
      <c r="H649" s="99">
        <f t="shared" si="116"/>
        <v>20</v>
      </c>
      <c r="I649" s="99">
        <f>I650</f>
        <v>0.3000000000000007</v>
      </c>
    </row>
    <row r="650" spans="1:9" ht="15.75">
      <c r="A650" s="128" t="s">
        <v>220</v>
      </c>
      <c r="B650" s="111"/>
      <c r="C650" s="174" t="s">
        <v>183</v>
      </c>
      <c r="D650" s="174" t="s">
        <v>180</v>
      </c>
      <c r="E650" s="202" t="s">
        <v>365</v>
      </c>
      <c r="F650" s="202" t="s">
        <v>206</v>
      </c>
      <c r="G650" s="99">
        <f t="shared" si="116"/>
        <v>20.3</v>
      </c>
      <c r="H650" s="99">
        <f t="shared" si="116"/>
        <v>20</v>
      </c>
      <c r="I650" s="99">
        <f>I651</f>
        <v>0.3000000000000007</v>
      </c>
    </row>
    <row r="651" spans="1:9" ht="15.75">
      <c r="A651" s="108" t="s">
        <v>221</v>
      </c>
      <c r="B651" s="111"/>
      <c r="C651" s="174" t="s">
        <v>183</v>
      </c>
      <c r="D651" s="174" t="s">
        <v>180</v>
      </c>
      <c r="E651" s="202" t="s">
        <v>365</v>
      </c>
      <c r="F651" s="202" t="s">
        <v>222</v>
      </c>
      <c r="G651" s="99">
        <f>7.5+7.5+2.5+2.8</f>
        <v>20.3</v>
      </c>
      <c r="H651" s="99">
        <f>7.5+7.5+2.5+2.5</f>
        <v>20</v>
      </c>
      <c r="I651" s="74">
        <f>G651-H651</f>
        <v>0.3000000000000007</v>
      </c>
    </row>
    <row r="652" spans="1:9" ht="15.75">
      <c r="A652" s="112" t="s">
        <v>617</v>
      </c>
      <c r="B652" s="111"/>
      <c r="C652" s="174" t="s">
        <v>183</v>
      </c>
      <c r="D652" s="174" t="s">
        <v>180</v>
      </c>
      <c r="E652" s="202" t="s">
        <v>622</v>
      </c>
      <c r="F652" s="202"/>
      <c r="G652" s="99">
        <f t="shared" si="116"/>
        <v>1800</v>
      </c>
      <c r="H652" s="99">
        <f t="shared" si="116"/>
        <v>1800</v>
      </c>
      <c r="I652" s="99">
        <f>I653</f>
        <v>0</v>
      </c>
    </row>
    <row r="653" spans="1:9" ht="15.75">
      <c r="A653" s="128" t="s">
        <v>220</v>
      </c>
      <c r="B653" s="111"/>
      <c r="C653" s="174" t="s">
        <v>183</v>
      </c>
      <c r="D653" s="174" t="s">
        <v>180</v>
      </c>
      <c r="E653" s="202" t="s">
        <v>622</v>
      </c>
      <c r="F653" s="202" t="s">
        <v>206</v>
      </c>
      <c r="G653" s="99">
        <f t="shared" si="116"/>
        <v>1800</v>
      </c>
      <c r="H653" s="99">
        <f t="shared" si="116"/>
        <v>1800</v>
      </c>
      <c r="I653" s="99">
        <f>I654</f>
        <v>0</v>
      </c>
    </row>
    <row r="654" spans="1:9" ht="15.75">
      <c r="A654" s="135" t="s">
        <v>221</v>
      </c>
      <c r="B654" s="111"/>
      <c r="C654" s="174" t="s">
        <v>183</v>
      </c>
      <c r="D654" s="174" t="s">
        <v>180</v>
      </c>
      <c r="E654" s="202" t="s">
        <v>622</v>
      </c>
      <c r="F654" s="202" t="s">
        <v>222</v>
      </c>
      <c r="G654" s="99">
        <v>1800</v>
      </c>
      <c r="H654" s="99">
        <v>1800</v>
      </c>
      <c r="I654" s="74">
        <f>G654-H654</f>
        <v>0</v>
      </c>
    </row>
    <row r="655" spans="1:9" ht="15.75">
      <c r="A655" s="144" t="s">
        <v>249</v>
      </c>
      <c r="B655" s="111"/>
      <c r="C655" s="174" t="s">
        <v>183</v>
      </c>
      <c r="D655" s="174" t="s">
        <v>180</v>
      </c>
      <c r="E655" s="202" t="s">
        <v>250</v>
      </c>
      <c r="F655" s="202"/>
      <c r="G655" s="74">
        <f>G656+G659</f>
        <v>73442.7</v>
      </c>
      <c r="H655" s="74">
        <f>H656+H659</f>
        <v>73444</v>
      </c>
      <c r="I655" s="74">
        <f>I656+I659</f>
        <v>-1.3000000000065484</v>
      </c>
    </row>
    <row r="656" spans="1:9" s="32" customFormat="1" ht="15" customHeight="1">
      <c r="A656" s="144" t="s">
        <v>262</v>
      </c>
      <c r="B656" s="111"/>
      <c r="C656" s="174" t="s">
        <v>183</v>
      </c>
      <c r="D656" s="174" t="s">
        <v>180</v>
      </c>
      <c r="E656" s="202" t="s">
        <v>251</v>
      </c>
      <c r="F656" s="202"/>
      <c r="G656" s="74">
        <f aca="true" t="shared" si="117" ref="G656:I657">G657</f>
        <v>52368.9</v>
      </c>
      <c r="H656" s="74">
        <f t="shared" si="117"/>
        <v>52495.700000000004</v>
      </c>
      <c r="I656" s="74">
        <f t="shared" si="117"/>
        <v>-126.80000000000291</v>
      </c>
    </row>
    <row r="657" spans="1:9" s="32" customFormat="1" ht="15.75">
      <c r="A657" s="128" t="s">
        <v>220</v>
      </c>
      <c r="B657" s="111"/>
      <c r="C657" s="174" t="s">
        <v>183</v>
      </c>
      <c r="D657" s="174" t="s">
        <v>180</v>
      </c>
      <c r="E657" s="202" t="s">
        <v>251</v>
      </c>
      <c r="F657" s="202" t="s">
        <v>206</v>
      </c>
      <c r="G657" s="74">
        <f t="shared" si="117"/>
        <v>52368.9</v>
      </c>
      <c r="H657" s="74">
        <f t="shared" si="117"/>
        <v>52495.700000000004</v>
      </c>
      <c r="I657" s="74">
        <f t="shared" si="117"/>
        <v>-126.80000000000291</v>
      </c>
    </row>
    <row r="658" spans="1:9" s="32" customFormat="1" ht="15.75">
      <c r="A658" s="108" t="s">
        <v>221</v>
      </c>
      <c r="B658" s="111"/>
      <c r="C658" s="174" t="s">
        <v>183</v>
      </c>
      <c r="D658" s="174" t="s">
        <v>180</v>
      </c>
      <c r="E658" s="202" t="s">
        <v>251</v>
      </c>
      <c r="F658" s="202" t="s">
        <v>222</v>
      </c>
      <c r="G658" s="74">
        <f>49681.7+250+50.3+2306.9+80</f>
        <v>52368.9</v>
      </c>
      <c r="H658" s="74">
        <f>49888.5+250+50.3+2306.9</f>
        <v>52495.700000000004</v>
      </c>
      <c r="I658" s="74">
        <f>G658-H658</f>
        <v>-126.80000000000291</v>
      </c>
    </row>
    <row r="659" spans="1:9" s="32" customFormat="1" ht="15" customHeight="1">
      <c r="A659" s="108" t="s">
        <v>366</v>
      </c>
      <c r="B659" s="111"/>
      <c r="C659" s="174" t="s">
        <v>183</v>
      </c>
      <c r="D659" s="174" t="s">
        <v>180</v>
      </c>
      <c r="E659" s="202" t="s">
        <v>252</v>
      </c>
      <c r="F659" s="202"/>
      <c r="G659" s="74">
        <f aca="true" t="shared" si="118" ref="G659:I660">G660</f>
        <v>21073.8</v>
      </c>
      <c r="H659" s="74">
        <f t="shared" si="118"/>
        <v>20948.300000000003</v>
      </c>
      <c r="I659" s="74">
        <f t="shared" si="118"/>
        <v>125.49999999999636</v>
      </c>
    </row>
    <row r="660" spans="1:9" s="32" customFormat="1" ht="15.75">
      <c r="A660" s="128" t="s">
        <v>220</v>
      </c>
      <c r="B660" s="111"/>
      <c r="C660" s="174" t="s">
        <v>183</v>
      </c>
      <c r="D660" s="174" t="s">
        <v>180</v>
      </c>
      <c r="E660" s="202" t="s">
        <v>252</v>
      </c>
      <c r="F660" s="202" t="s">
        <v>206</v>
      </c>
      <c r="G660" s="74">
        <f t="shared" si="118"/>
        <v>21073.8</v>
      </c>
      <c r="H660" s="74">
        <f t="shared" si="118"/>
        <v>20948.300000000003</v>
      </c>
      <c r="I660" s="74">
        <f t="shared" si="118"/>
        <v>125.49999999999636</v>
      </c>
    </row>
    <row r="661" spans="1:9" s="32" customFormat="1" ht="15.75">
      <c r="A661" s="108" t="s">
        <v>221</v>
      </c>
      <c r="B661" s="111"/>
      <c r="C661" s="174" t="s">
        <v>183</v>
      </c>
      <c r="D661" s="174" t="s">
        <v>180</v>
      </c>
      <c r="E661" s="202" t="s">
        <v>252</v>
      </c>
      <c r="F661" s="202" t="s">
        <v>222</v>
      </c>
      <c r="G661" s="74">
        <f>19827.6+110.5+59.2+876.5+200</f>
        <v>21073.8</v>
      </c>
      <c r="H661" s="74">
        <f>19683.4+331.5+56.9+876.5</f>
        <v>20948.300000000003</v>
      </c>
      <c r="I661" s="74">
        <f>G661-H661</f>
        <v>125.49999999999636</v>
      </c>
    </row>
    <row r="662" spans="1:9" s="32" customFormat="1" ht="25.5">
      <c r="A662" s="130" t="s">
        <v>367</v>
      </c>
      <c r="B662" s="111"/>
      <c r="C662" s="174" t="s">
        <v>183</v>
      </c>
      <c r="D662" s="174" t="s">
        <v>180</v>
      </c>
      <c r="E662" s="202" t="s">
        <v>316</v>
      </c>
      <c r="F662" s="236"/>
      <c r="G662" s="74">
        <f aca="true" t="shared" si="119" ref="G662:I663">G663</f>
        <v>1350</v>
      </c>
      <c r="H662" s="74">
        <f t="shared" si="119"/>
        <v>1350</v>
      </c>
      <c r="I662" s="74">
        <f t="shared" si="119"/>
        <v>0</v>
      </c>
    </row>
    <row r="663" spans="1:9" s="32" customFormat="1" ht="15.75">
      <c r="A663" s="128" t="s">
        <v>220</v>
      </c>
      <c r="B663" s="111"/>
      <c r="C663" s="174" t="s">
        <v>183</v>
      </c>
      <c r="D663" s="174" t="s">
        <v>180</v>
      </c>
      <c r="E663" s="202" t="s">
        <v>316</v>
      </c>
      <c r="F663" s="202" t="s">
        <v>206</v>
      </c>
      <c r="G663" s="74">
        <f t="shared" si="119"/>
        <v>1350</v>
      </c>
      <c r="H663" s="74">
        <f t="shared" si="119"/>
        <v>1350</v>
      </c>
      <c r="I663" s="74">
        <f t="shared" si="119"/>
        <v>0</v>
      </c>
    </row>
    <row r="664" spans="1:9" s="32" customFormat="1" ht="15.75">
      <c r="A664" s="108" t="s">
        <v>221</v>
      </c>
      <c r="B664" s="111"/>
      <c r="C664" s="174" t="s">
        <v>183</v>
      </c>
      <c r="D664" s="174" t="s">
        <v>180</v>
      </c>
      <c r="E664" s="202" t="s">
        <v>316</v>
      </c>
      <c r="F664" s="202" t="s">
        <v>222</v>
      </c>
      <c r="G664" s="74">
        <f>1250+100</f>
        <v>1350</v>
      </c>
      <c r="H664" s="74">
        <f>1250+100</f>
        <v>1350</v>
      </c>
      <c r="I664" s="74">
        <f>G664-H664</f>
        <v>0</v>
      </c>
    </row>
    <row r="665" spans="1:9" s="32" customFormat="1" ht="15.75">
      <c r="A665" s="130" t="s">
        <v>538</v>
      </c>
      <c r="B665" s="111"/>
      <c r="C665" s="174" t="s">
        <v>183</v>
      </c>
      <c r="D665" s="174" t="s">
        <v>180</v>
      </c>
      <c r="E665" s="202" t="s">
        <v>537</v>
      </c>
      <c r="F665" s="236"/>
      <c r="G665" s="74">
        <f aca="true" t="shared" si="120" ref="G665:I666">G666</f>
        <v>8562.6</v>
      </c>
      <c r="H665" s="74">
        <f t="shared" si="120"/>
        <v>8562.6</v>
      </c>
      <c r="I665" s="74">
        <f t="shared" si="120"/>
        <v>0</v>
      </c>
    </row>
    <row r="666" spans="1:9" s="32" customFormat="1" ht="15.75">
      <c r="A666" s="128" t="s">
        <v>220</v>
      </c>
      <c r="B666" s="111"/>
      <c r="C666" s="174" t="s">
        <v>183</v>
      </c>
      <c r="D666" s="174" t="s">
        <v>180</v>
      </c>
      <c r="E666" s="202" t="s">
        <v>537</v>
      </c>
      <c r="F666" s="202" t="s">
        <v>206</v>
      </c>
      <c r="G666" s="74">
        <f t="shared" si="120"/>
        <v>8562.6</v>
      </c>
      <c r="H666" s="74">
        <f t="shared" si="120"/>
        <v>8562.6</v>
      </c>
      <c r="I666" s="74">
        <f t="shared" si="120"/>
        <v>0</v>
      </c>
    </row>
    <row r="667" spans="1:9" s="32" customFormat="1" ht="15.75">
      <c r="A667" s="135" t="s">
        <v>221</v>
      </c>
      <c r="B667" s="111"/>
      <c r="C667" s="174" t="s">
        <v>183</v>
      </c>
      <c r="D667" s="174" t="s">
        <v>180</v>
      </c>
      <c r="E667" s="202" t="s">
        <v>537</v>
      </c>
      <c r="F667" s="202" t="s">
        <v>222</v>
      </c>
      <c r="G667" s="74">
        <v>8562.6</v>
      </c>
      <c r="H667" s="74">
        <v>8562.6</v>
      </c>
      <c r="I667" s="74">
        <f>G667-H667</f>
        <v>0</v>
      </c>
    </row>
    <row r="668" spans="1:9" s="32" customFormat="1" ht="15.75">
      <c r="A668" s="130" t="s">
        <v>541</v>
      </c>
      <c r="B668" s="111"/>
      <c r="C668" s="174" t="s">
        <v>183</v>
      </c>
      <c r="D668" s="174" t="s">
        <v>180</v>
      </c>
      <c r="E668" s="202" t="s">
        <v>542</v>
      </c>
      <c r="F668" s="236"/>
      <c r="G668" s="74">
        <f aca="true" t="shared" si="121" ref="G668:H678">G669</f>
        <v>222.5</v>
      </c>
      <c r="H668" s="74">
        <f t="shared" si="121"/>
        <v>222.5</v>
      </c>
      <c r="I668" s="74">
        <f aca="true" t="shared" si="122" ref="I668:I678">I669</f>
        <v>0</v>
      </c>
    </row>
    <row r="669" spans="1:9" s="32" customFormat="1" ht="15.75">
      <c r="A669" s="128" t="s">
        <v>220</v>
      </c>
      <c r="B669" s="111"/>
      <c r="C669" s="174" t="s">
        <v>183</v>
      </c>
      <c r="D669" s="174" t="s">
        <v>180</v>
      </c>
      <c r="E669" s="202" t="s">
        <v>542</v>
      </c>
      <c r="F669" s="202" t="s">
        <v>206</v>
      </c>
      <c r="G669" s="74">
        <f t="shared" si="121"/>
        <v>222.5</v>
      </c>
      <c r="H669" s="74">
        <f t="shared" si="121"/>
        <v>222.5</v>
      </c>
      <c r="I669" s="74">
        <f t="shared" si="122"/>
        <v>0</v>
      </c>
    </row>
    <row r="670" spans="1:9" s="32" customFormat="1" ht="15.75">
      <c r="A670" s="108" t="s">
        <v>221</v>
      </c>
      <c r="B670" s="111"/>
      <c r="C670" s="174" t="s">
        <v>183</v>
      </c>
      <c r="D670" s="174" t="s">
        <v>180</v>
      </c>
      <c r="E670" s="202" t="s">
        <v>542</v>
      </c>
      <c r="F670" s="202" t="s">
        <v>222</v>
      </c>
      <c r="G670" s="74">
        <f>206.9+15.6</f>
        <v>222.5</v>
      </c>
      <c r="H670" s="74">
        <f>206.9+15.6</f>
        <v>222.5</v>
      </c>
      <c r="I670" s="74">
        <f>G670-H670</f>
        <v>0</v>
      </c>
    </row>
    <row r="671" spans="1:9" s="32" customFormat="1" ht="25.5">
      <c r="A671" s="130" t="s">
        <v>604</v>
      </c>
      <c r="B671" s="111"/>
      <c r="C671" s="174" t="s">
        <v>183</v>
      </c>
      <c r="D671" s="174" t="s">
        <v>180</v>
      </c>
      <c r="E671" s="202" t="s">
        <v>603</v>
      </c>
      <c r="F671" s="236"/>
      <c r="G671" s="74">
        <f t="shared" si="121"/>
        <v>58.5</v>
      </c>
      <c r="H671" s="74">
        <f t="shared" si="121"/>
        <v>58.5</v>
      </c>
      <c r="I671" s="74">
        <f t="shared" si="122"/>
        <v>0</v>
      </c>
    </row>
    <row r="672" spans="1:9" s="32" customFormat="1" ht="15.75">
      <c r="A672" s="128" t="s">
        <v>220</v>
      </c>
      <c r="B672" s="111"/>
      <c r="C672" s="174" t="s">
        <v>183</v>
      </c>
      <c r="D672" s="174" t="s">
        <v>180</v>
      </c>
      <c r="E672" s="202" t="s">
        <v>603</v>
      </c>
      <c r="F672" s="202" t="s">
        <v>206</v>
      </c>
      <c r="G672" s="74">
        <f t="shared" si="121"/>
        <v>58.5</v>
      </c>
      <c r="H672" s="74">
        <f t="shared" si="121"/>
        <v>58.5</v>
      </c>
      <c r="I672" s="74">
        <f t="shared" si="122"/>
        <v>0</v>
      </c>
    </row>
    <row r="673" spans="1:9" s="32" customFormat="1" ht="15.75">
      <c r="A673" s="108" t="s">
        <v>221</v>
      </c>
      <c r="B673" s="111"/>
      <c r="C673" s="174" t="s">
        <v>183</v>
      </c>
      <c r="D673" s="174" t="s">
        <v>180</v>
      </c>
      <c r="E673" s="202" t="s">
        <v>603</v>
      </c>
      <c r="F673" s="202" t="s">
        <v>222</v>
      </c>
      <c r="G673" s="74">
        <v>58.5</v>
      </c>
      <c r="H673" s="74">
        <v>58.5</v>
      </c>
      <c r="I673" s="74">
        <f>G673-H673</f>
        <v>0</v>
      </c>
    </row>
    <row r="674" spans="1:9" s="32" customFormat="1" ht="15.75">
      <c r="A674" s="130" t="s">
        <v>635</v>
      </c>
      <c r="B674" s="111"/>
      <c r="C674" s="174" t="s">
        <v>183</v>
      </c>
      <c r="D674" s="174" t="s">
        <v>180</v>
      </c>
      <c r="E674" s="202" t="s">
        <v>636</v>
      </c>
      <c r="F674" s="236"/>
      <c r="G674" s="74">
        <f t="shared" si="121"/>
        <v>6639.200000000001</v>
      </c>
      <c r="H674" s="74">
        <f t="shared" si="121"/>
        <v>6578.299999999999</v>
      </c>
      <c r="I674" s="74">
        <f t="shared" si="122"/>
        <v>60.900000000001455</v>
      </c>
    </row>
    <row r="675" spans="1:9" s="32" customFormat="1" ht="15.75">
      <c r="A675" s="128" t="s">
        <v>220</v>
      </c>
      <c r="B675" s="111"/>
      <c r="C675" s="174" t="s">
        <v>183</v>
      </c>
      <c r="D675" s="174" t="s">
        <v>180</v>
      </c>
      <c r="E675" s="202" t="s">
        <v>636</v>
      </c>
      <c r="F675" s="202" t="s">
        <v>206</v>
      </c>
      <c r="G675" s="74">
        <f t="shared" si="121"/>
        <v>6639.200000000001</v>
      </c>
      <c r="H675" s="74">
        <f t="shared" si="121"/>
        <v>6578.299999999999</v>
      </c>
      <c r="I675" s="74">
        <f t="shared" si="122"/>
        <v>60.900000000001455</v>
      </c>
    </row>
    <row r="676" spans="1:9" s="32" customFormat="1" ht="15.75">
      <c r="A676" s="108" t="s">
        <v>221</v>
      </c>
      <c r="B676" s="111"/>
      <c r="C676" s="174" t="s">
        <v>183</v>
      </c>
      <c r="D676" s="174" t="s">
        <v>180</v>
      </c>
      <c r="E676" s="202" t="s">
        <v>636</v>
      </c>
      <c r="F676" s="202" t="s">
        <v>222</v>
      </c>
      <c r="G676" s="74">
        <f>191.8+1407.3+5040.1</f>
        <v>6639.200000000001</v>
      </c>
      <c r="H676" s="74">
        <f>191.8+439.7+2085.2+3861.6</f>
        <v>6578.299999999999</v>
      </c>
      <c r="I676" s="74">
        <f>G676-H676</f>
        <v>60.900000000001455</v>
      </c>
    </row>
    <row r="677" spans="1:9" s="32" customFormat="1" ht="15.75">
      <c r="A677" s="130" t="s">
        <v>635</v>
      </c>
      <c r="B677" s="111"/>
      <c r="C677" s="174" t="s">
        <v>183</v>
      </c>
      <c r="D677" s="174" t="s">
        <v>180</v>
      </c>
      <c r="E677" s="202" t="s">
        <v>637</v>
      </c>
      <c r="F677" s="236"/>
      <c r="G677" s="74">
        <f t="shared" si="121"/>
        <v>2175.7</v>
      </c>
      <c r="H677" s="74">
        <f t="shared" si="121"/>
        <v>1883.7</v>
      </c>
      <c r="I677" s="74">
        <f t="shared" si="122"/>
        <v>291.9999999999998</v>
      </c>
    </row>
    <row r="678" spans="1:9" s="32" customFormat="1" ht="15.75">
      <c r="A678" s="128" t="s">
        <v>220</v>
      </c>
      <c r="B678" s="111"/>
      <c r="C678" s="174" t="s">
        <v>183</v>
      </c>
      <c r="D678" s="174" t="s">
        <v>180</v>
      </c>
      <c r="E678" s="202" t="s">
        <v>637</v>
      </c>
      <c r="F678" s="202" t="s">
        <v>206</v>
      </c>
      <c r="G678" s="74">
        <f t="shared" si="121"/>
        <v>2175.7</v>
      </c>
      <c r="H678" s="74">
        <f t="shared" si="121"/>
        <v>1883.7</v>
      </c>
      <c r="I678" s="74">
        <f t="shared" si="122"/>
        <v>291.9999999999998</v>
      </c>
    </row>
    <row r="679" spans="1:9" s="32" customFormat="1" ht="15.75">
      <c r="A679" s="108" t="s">
        <v>221</v>
      </c>
      <c r="B679" s="111"/>
      <c r="C679" s="174" t="s">
        <v>183</v>
      </c>
      <c r="D679" s="174" t="s">
        <v>180</v>
      </c>
      <c r="E679" s="202" t="s">
        <v>637</v>
      </c>
      <c r="F679" s="202" t="s">
        <v>222</v>
      </c>
      <c r="G679" s="74">
        <f>205.1+63+1907.6</f>
        <v>2175.7</v>
      </c>
      <c r="H679" s="74">
        <f>150.3+63+844.2+826.2</f>
        <v>1883.7</v>
      </c>
      <c r="I679" s="74">
        <f>G679-H679</f>
        <v>291.9999999999998</v>
      </c>
    </row>
    <row r="680" spans="1:9" s="32" customFormat="1" ht="15.75">
      <c r="A680" s="106" t="s">
        <v>178</v>
      </c>
      <c r="B680" s="115"/>
      <c r="C680" s="173" t="s">
        <v>150</v>
      </c>
      <c r="D680" s="173"/>
      <c r="E680" s="201"/>
      <c r="F680" s="202"/>
      <c r="G680" s="78">
        <f>G681+G691</f>
        <v>705.9</v>
      </c>
      <c r="H680" s="78">
        <f>H681+H691</f>
        <v>705.9</v>
      </c>
      <c r="I680" s="78">
        <f>I681+I691</f>
        <v>0</v>
      </c>
    </row>
    <row r="681" spans="1:9" s="32" customFormat="1" ht="15.75">
      <c r="A681" s="129" t="s">
        <v>147</v>
      </c>
      <c r="B681" s="115"/>
      <c r="C681" s="173" t="s">
        <v>150</v>
      </c>
      <c r="D681" s="173" t="s">
        <v>181</v>
      </c>
      <c r="E681" s="201"/>
      <c r="F681" s="202"/>
      <c r="G681" s="78">
        <f>G682</f>
        <v>505.9</v>
      </c>
      <c r="H681" s="78">
        <f>H682</f>
        <v>505.9</v>
      </c>
      <c r="I681" s="78">
        <f>I682</f>
        <v>0</v>
      </c>
    </row>
    <row r="682" spans="1:9" s="32" customFormat="1" ht="15.75">
      <c r="A682" s="114" t="s">
        <v>400</v>
      </c>
      <c r="B682" s="115"/>
      <c r="C682" s="173" t="s">
        <v>150</v>
      </c>
      <c r="D682" s="173" t="s">
        <v>181</v>
      </c>
      <c r="E682" s="201" t="s">
        <v>95</v>
      </c>
      <c r="F682" s="202"/>
      <c r="G682" s="78">
        <f>G687+G683</f>
        <v>505.9</v>
      </c>
      <c r="H682" s="78">
        <f>H687+H683</f>
        <v>505.9</v>
      </c>
      <c r="I682" s="78">
        <f>I687+I683</f>
        <v>0</v>
      </c>
    </row>
    <row r="683" spans="1:9" s="36" customFormat="1" ht="19.5" customHeight="1">
      <c r="A683" s="114" t="s">
        <v>450</v>
      </c>
      <c r="B683" s="115"/>
      <c r="C683" s="173" t="s">
        <v>150</v>
      </c>
      <c r="D683" s="173" t="s">
        <v>181</v>
      </c>
      <c r="E683" s="201" t="s">
        <v>54</v>
      </c>
      <c r="F683" s="202"/>
      <c r="G683" s="78">
        <f>G684</f>
        <v>489.7</v>
      </c>
      <c r="H683" s="78">
        <f>H684</f>
        <v>489.7</v>
      </c>
      <c r="I683" s="78">
        <f>I684</f>
        <v>0</v>
      </c>
    </row>
    <row r="684" spans="1:9" s="36" customFormat="1" ht="15.75" customHeight="1">
      <c r="A684" s="112" t="s">
        <v>111</v>
      </c>
      <c r="B684" s="137"/>
      <c r="C684" s="174" t="s">
        <v>150</v>
      </c>
      <c r="D684" s="174" t="s">
        <v>181</v>
      </c>
      <c r="E684" s="200" t="s">
        <v>55</v>
      </c>
      <c r="F684" s="202"/>
      <c r="G684" s="74">
        <f>SUM(G685)</f>
        <v>489.7</v>
      </c>
      <c r="H684" s="74">
        <f>SUM(H685)</f>
        <v>489.7</v>
      </c>
      <c r="I684" s="74">
        <f>SUM(I685)</f>
        <v>0</v>
      </c>
    </row>
    <row r="685" spans="1:9" s="32" customFormat="1" ht="20.25" customHeight="1">
      <c r="A685" s="184" t="s">
        <v>264</v>
      </c>
      <c r="B685" s="137"/>
      <c r="C685" s="174" t="s">
        <v>150</v>
      </c>
      <c r="D685" s="174" t="s">
        <v>181</v>
      </c>
      <c r="E685" s="200" t="s">
        <v>55</v>
      </c>
      <c r="F685" s="202" t="s">
        <v>216</v>
      </c>
      <c r="G685" s="74">
        <f>G686</f>
        <v>489.7</v>
      </c>
      <c r="H685" s="74">
        <f>H686</f>
        <v>489.7</v>
      </c>
      <c r="I685" s="74">
        <f>I686</f>
        <v>0</v>
      </c>
    </row>
    <row r="686" spans="1:9" ht="15.75">
      <c r="A686" s="136" t="s">
        <v>217</v>
      </c>
      <c r="B686" s="137"/>
      <c r="C686" s="174" t="s">
        <v>150</v>
      </c>
      <c r="D686" s="174" t="s">
        <v>181</v>
      </c>
      <c r="E686" s="200" t="s">
        <v>55</v>
      </c>
      <c r="F686" s="202" t="s">
        <v>215</v>
      </c>
      <c r="G686" s="74">
        <f>200+289.7</f>
        <v>489.7</v>
      </c>
      <c r="H686" s="74">
        <f>200+289.7</f>
        <v>489.7</v>
      </c>
      <c r="I686" s="74">
        <f>G686-H686</f>
        <v>0</v>
      </c>
    </row>
    <row r="687" spans="1:9" s="36" customFormat="1" ht="19.5" customHeight="1">
      <c r="A687" s="114" t="s">
        <v>245</v>
      </c>
      <c r="B687" s="115"/>
      <c r="C687" s="173" t="s">
        <v>150</v>
      </c>
      <c r="D687" s="173" t="s">
        <v>181</v>
      </c>
      <c r="E687" s="201" t="s">
        <v>56</v>
      </c>
      <c r="F687" s="202"/>
      <c r="G687" s="78">
        <f>G688</f>
        <v>16.2</v>
      </c>
      <c r="H687" s="78">
        <f>H688</f>
        <v>16.2</v>
      </c>
      <c r="I687" s="78">
        <f>I688</f>
        <v>0</v>
      </c>
    </row>
    <row r="688" spans="1:9" s="36" customFormat="1" ht="25.5" customHeight="1">
      <c r="A688" s="112" t="s">
        <v>401</v>
      </c>
      <c r="B688" s="137"/>
      <c r="C688" s="174" t="s">
        <v>150</v>
      </c>
      <c r="D688" s="174" t="s">
        <v>181</v>
      </c>
      <c r="E688" s="200" t="s">
        <v>451</v>
      </c>
      <c r="F688" s="202"/>
      <c r="G688" s="74">
        <f>SUM(G689)</f>
        <v>16.2</v>
      </c>
      <c r="H688" s="74">
        <f>SUM(H689)</f>
        <v>16.2</v>
      </c>
      <c r="I688" s="74">
        <f>SUM(I689)</f>
        <v>0</v>
      </c>
    </row>
    <row r="689" spans="1:9" s="32" customFormat="1" ht="20.25" customHeight="1">
      <c r="A689" s="184" t="s">
        <v>264</v>
      </c>
      <c r="B689" s="137"/>
      <c r="C689" s="174" t="s">
        <v>150</v>
      </c>
      <c r="D689" s="174" t="s">
        <v>181</v>
      </c>
      <c r="E689" s="200" t="s">
        <v>451</v>
      </c>
      <c r="F689" s="202" t="s">
        <v>216</v>
      </c>
      <c r="G689" s="74">
        <f>G690</f>
        <v>16.2</v>
      </c>
      <c r="H689" s="74">
        <f>H690</f>
        <v>16.2</v>
      </c>
      <c r="I689" s="74">
        <f>I690</f>
        <v>0</v>
      </c>
    </row>
    <row r="690" spans="1:9" ht="15.75">
      <c r="A690" s="136" t="s">
        <v>217</v>
      </c>
      <c r="B690" s="137"/>
      <c r="C690" s="174" t="s">
        <v>150</v>
      </c>
      <c r="D690" s="174" t="s">
        <v>181</v>
      </c>
      <c r="E690" s="200" t="s">
        <v>451</v>
      </c>
      <c r="F690" s="202" t="s">
        <v>215</v>
      </c>
      <c r="G690" s="74">
        <v>16.2</v>
      </c>
      <c r="H690" s="74">
        <v>16.2</v>
      </c>
      <c r="I690" s="74">
        <f>G690-H690</f>
        <v>0</v>
      </c>
    </row>
    <row r="691" spans="1:9" s="36" customFormat="1" ht="15.75">
      <c r="A691" s="125" t="s">
        <v>453</v>
      </c>
      <c r="B691" s="177"/>
      <c r="C691" s="153" t="s">
        <v>150</v>
      </c>
      <c r="D691" s="153" t="s">
        <v>181</v>
      </c>
      <c r="E691" s="206" t="s">
        <v>452</v>
      </c>
      <c r="F691" s="208"/>
      <c r="G691" s="78">
        <f aca="true" t="shared" si="123" ref="G691:H693">G692</f>
        <v>200</v>
      </c>
      <c r="H691" s="78">
        <f t="shared" si="123"/>
        <v>200</v>
      </c>
      <c r="I691" s="78">
        <f>I692</f>
        <v>0</v>
      </c>
    </row>
    <row r="692" spans="1:9" s="36" customFormat="1" ht="15.75">
      <c r="A692" s="112" t="s">
        <v>111</v>
      </c>
      <c r="B692" s="177"/>
      <c r="C692" s="152" t="s">
        <v>150</v>
      </c>
      <c r="D692" s="152" t="s">
        <v>181</v>
      </c>
      <c r="E692" s="210" t="s">
        <v>454</v>
      </c>
      <c r="F692" s="208"/>
      <c r="G692" s="74">
        <f t="shared" si="123"/>
        <v>200</v>
      </c>
      <c r="H692" s="74">
        <f t="shared" si="123"/>
        <v>200</v>
      </c>
      <c r="I692" s="74">
        <f>I693</f>
        <v>0</v>
      </c>
    </row>
    <row r="693" spans="1:9" s="36" customFormat="1" ht="15.75">
      <c r="A693" s="128" t="s">
        <v>102</v>
      </c>
      <c r="B693" s="177"/>
      <c r="C693" s="152" t="s">
        <v>150</v>
      </c>
      <c r="D693" s="152" t="s">
        <v>181</v>
      </c>
      <c r="E693" s="210" t="s">
        <v>454</v>
      </c>
      <c r="F693" s="208" t="s">
        <v>98</v>
      </c>
      <c r="G693" s="74">
        <f t="shared" si="123"/>
        <v>200</v>
      </c>
      <c r="H693" s="74">
        <f t="shared" si="123"/>
        <v>200</v>
      </c>
      <c r="I693" s="74">
        <f>I694</f>
        <v>0</v>
      </c>
    </row>
    <row r="694" spans="1:9" s="36" customFormat="1" ht="15.75">
      <c r="A694" s="112" t="s">
        <v>578</v>
      </c>
      <c r="B694" s="177"/>
      <c r="C694" s="152" t="s">
        <v>150</v>
      </c>
      <c r="D694" s="152" t="s">
        <v>181</v>
      </c>
      <c r="E694" s="210" t="s">
        <v>454</v>
      </c>
      <c r="F694" s="208" t="s">
        <v>577</v>
      </c>
      <c r="G694" s="74">
        <v>200</v>
      </c>
      <c r="H694" s="74">
        <v>200</v>
      </c>
      <c r="I694" s="74">
        <f>G694-H694</f>
        <v>0</v>
      </c>
    </row>
    <row r="695" spans="1:9" ht="15.75">
      <c r="A695" s="106" t="s">
        <v>186</v>
      </c>
      <c r="B695" s="107"/>
      <c r="C695" s="173" t="s">
        <v>179</v>
      </c>
      <c r="D695" s="173"/>
      <c r="E695" s="201"/>
      <c r="F695" s="203"/>
      <c r="G695" s="78">
        <f aca="true" t="shared" si="124" ref="G695:I696">G696</f>
        <v>20522.3</v>
      </c>
      <c r="H695" s="78">
        <f t="shared" si="124"/>
        <v>20522.3</v>
      </c>
      <c r="I695" s="78">
        <f t="shared" si="124"/>
        <v>0</v>
      </c>
    </row>
    <row r="696" spans="1:9" ht="15.75">
      <c r="A696" s="106" t="s">
        <v>213</v>
      </c>
      <c r="B696" s="107"/>
      <c r="C696" s="173" t="s">
        <v>179</v>
      </c>
      <c r="D696" s="173" t="s">
        <v>197</v>
      </c>
      <c r="E696" s="201"/>
      <c r="F696" s="203"/>
      <c r="G696" s="78">
        <f t="shared" si="124"/>
        <v>20522.3</v>
      </c>
      <c r="H696" s="78">
        <f t="shared" si="124"/>
        <v>20522.3</v>
      </c>
      <c r="I696" s="78">
        <f t="shared" si="124"/>
        <v>0</v>
      </c>
    </row>
    <row r="697" spans="1:9" ht="26.25">
      <c r="A697" s="145" t="s">
        <v>436</v>
      </c>
      <c r="B697" s="107"/>
      <c r="C697" s="173" t="s">
        <v>179</v>
      </c>
      <c r="D697" s="173" t="s">
        <v>197</v>
      </c>
      <c r="E697" s="201" t="s">
        <v>44</v>
      </c>
      <c r="F697" s="203"/>
      <c r="G697" s="78">
        <f>G698+G710</f>
        <v>20522.3</v>
      </c>
      <c r="H697" s="78">
        <f>H698+H710</f>
        <v>20522.3</v>
      </c>
      <c r="I697" s="78">
        <f>I698+I710</f>
        <v>0</v>
      </c>
    </row>
    <row r="698" spans="1:9" ht="15.75">
      <c r="A698" s="185" t="s">
        <v>447</v>
      </c>
      <c r="B698" s="107"/>
      <c r="C698" s="173" t="s">
        <v>179</v>
      </c>
      <c r="D698" s="173" t="s">
        <v>197</v>
      </c>
      <c r="E698" s="201" t="s">
        <v>263</v>
      </c>
      <c r="F698" s="203"/>
      <c r="G698" s="78">
        <f>G702+G707+G699</f>
        <v>499.5</v>
      </c>
      <c r="H698" s="78">
        <f>H702+H707+H699</f>
        <v>499.5</v>
      </c>
      <c r="I698" s="78">
        <f>I702+I707+I699</f>
        <v>0</v>
      </c>
    </row>
    <row r="699" spans="1:9" ht="15.75">
      <c r="A699" s="112" t="s">
        <v>564</v>
      </c>
      <c r="B699" s="113"/>
      <c r="C699" s="174" t="s">
        <v>179</v>
      </c>
      <c r="D699" s="174" t="s">
        <v>197</v>
      </c>
      <c r="E699" s="210" t="s">
        <v>638</v>
      </c>
      <c r="F699" s="208"/>
      <c r="G699" s="74">
        <f aca="true" t="shared" si="125" ref="G699:I700">G700</f>
        <v>58</v>
      </c>
      <c r="H699" s="74">
        <f t="shared" si="125"/>
        <v>50</v>
      </c>
      <c r="I699" s="74">
        <f t="shared" si="125"/>
        <v>8</v>
      </c>
    </row>
    <row r="700" spans="1:9" ht="15.75">
      <c r="A700" s="110" t="s">
        <v>264</v>
      </c>
      <c r="B700" s="111"/>
      <c r="C700" s="174" t="s">
        <v>179</v>
      </c>
      <c r="D700" s="174" t="s">
        <v>197</v>
      </c>
      <c r="E700" s="210" t="s">
        <v>638</v>
      </c>
      <c r="F700" s="208" t="s">
        <v>216</v>
      </c>
      <c r="G700" s="74">
        <f t="shared" si="125"/>
        <v>58</v>
      </c>
      <c r="H700" s="74">
        <f t="shared" si="125"/>
        <v>50</v>
      </c>
      <c r="I700" s="74">
        <f t="shared" si="125"/>
        <v>8</v>
      </c>
    </row>
    <row r="701" spans="1:9" ht="15.75">
      <c r="A701" s="110" t="s">
        <v>217</v>
      </c>
      <c r="B701" s="113"/>
      <c r="C701" s="174" t="s">
        <v>179</v>
      </c>
      <c r="D701" s="174" t="s">
        <v>197</v>
      </c>
      <c r="E701" s="210" t="s">
        <v>638</v>
      </c>
      <c r="F701" s="208" t="s">
        <v>215</v>
      </c>
      <c r="G701" s="74">
        <v>58</v>
      </c>
      <c r="H701" s="74">
        <v>50</v>
      </c>
      <c r="I701" s="74">
        <f>G701-H701</f>
        <v>8</v>
      </c>
    </row>
    <row r="702" spans="1:9" ht="15.75">
      <c r="A702" s="108" t="s">
        <v>389</v>
      </c>
      <c r="B702" s="111"/>
      <c r="C702" s="174" t="s">
        <v>179</v>
      </c>
      <c r="D702" s="174" t="s">
        <v>197</v>
      </c>
      <c r="E702" s="200" t="s">
        <v>45</v>
      </c>
      <c r="F702" s="202"/>
      <c r="G702" s="74">
        <f>G704+G706</f>
        <v>351.5</v>
      </c>
      <c r="H702" s="74">
        <f>H704+H706</f>
        <v>359.5</v>
      </c>
      <c r="I702" s="74">
        <f>I704+I706</f>
        <v>-8</v>
      </c>
    </row>
    <row r="703" spans="1:9" ht="15.75">
      <c r="A703" s="110" t="s">
        <v>264</v>
      </c>
      <c r="B703" s="111"/>
      <c r="C703" s="174" t="s">
        <v>179</v>
      </c>
      <c r="D703" s="174" t="s">
        <v>197</v>
      </c>
      <c r="E703" s="200" t="s">
        <v>45</v>
      </c>
      <c r="F703" s="202" t="s">
        <v>216</v>
      </c>
      <c r="G703" s="74">
        <f>G704</f>
        <v>321.5</v>
      </c>
      <c r="H703" s="74">
        <f>H704</f>
        <v>329.5</v>
      </c>
      <c r="I703" s="74">
        <f>I704</f>
        <v>-8</v>
      </c>
    </row>
    <row r="704" spans="1:9" ht="15.75">
      <c r="A704" s="144" t="s">
        <v>217</v>
      </c>
      <c r="B704" s="111"/>
      <c r="C704" s="174" t="s">
        <v>179</v>
      </c>
      <c r="D704" s="174" t="s">
        <v>197</v>
      </c>
      <c r="E704" s="200" t="s">
        <v>45</v>
      </c>
      <c r="F704" s="202" t="s">
        <v>215</v>
      </c>
      <c r="G704" s="74">
        <v>321.5</v>
      </c>
      <c r="H704" s="74">
        <v>329.5</v>
      </c>
      <c r="I704" s="74">
        <f>G704-H704</f>
        <v>-8</v>
      </c>
    </row>
    <row r="705" spans="1:9" ht="15.75">
      <c r="A705" s="128" t="s">
        <v>220</v>
      </c>
      <c r="B705" s="111"/>
      <c r="C705" s="174" t="s">
        <v>179</v>
      </c>
      <c r="D705" s="174" t="s">
        <v>197</v>
      </c>
      <c r="E705" s="200" t="s">
        <v>45</v>
      </c>
      <c r="F705" s="202" t="s">
        <v>206</v>
      </c>
      <c r="G705" s="74">
        <f>G706</f>
        <v>30</v>
      </c>
      <c r="H705" s="74">
        <f>H706</f>
        <v>30</v>
      </c>
      <c r="I705" s="74">
        <f>I706</f>
        <v>0</v>
      </c>
    </row>
    <row r="706" spans="1:9" ht="18" customHeight="1">
      <c r="A706" s="135" t="s">
        <v>221</v>
      </c>
      <c r="B706" s="111"/>
      <c r="C706" s="174" t="s">
        <v>179</v>
      </c>
      <c r="D706" s="174" t="s">
        <v>197</v>
      </c>
      <c r="E706" s="200" t="s">
        <v>45</v>
      </c>
      <c r="F706" s="202" t="s">
        <v>222</v>
      </c>
      <c r="G706" s="74">
        <v>30</v>
      </c>
      <c r="H706" s="74">
        <v>30</v>
      </c>
      <c r="I706" s="74">
        <f>G706-H706</f>
        <v>0</v>
      </c>
    </row>
    <row r="707" spans="1:9" ht="23.25" customHeight="1">
      <c r="A707" s="144" t="s">
        <v>320</v>
      </c>
      <c r="B707" s="111"/>
      <c r="C707" s="174" t="s">
        <v>179</v>
      </c>
      <c r="D707" s="174" t="s">
        <v>197</v>
      </c>
      <c r="E707" s="200" t="s">
        <v>291</v>
      </c>
      <c r="F707" s="202"/>
      <c r="G707" s="74">
        <f aca="true" t="shared" si="126" ref="G707:I708">G708</f>
        <v>90</v>
      </c>
      <c r="H707" s="74">
        <f t="shared" si="126"/>
        <v>90</v>
      </c>
      <c r="I707" s="74">
        <f t="shared" si="126"/>
        <v>0</v>
      </c>
    </row>
    <row r="708" spans="1:9" ht="15" customHeight="1">
      <c r="A708" s="128" t="s">
        <v>220</v>
      </c>
      <c r="B708" s="111"/>
      <c r="C708" s="174" t="s">
        <v>179</v>
      </c>
      <c r="D708" s="174" t="s">
        <v>197</v>
      </c>
      <c r="E708" s="200" t="s">
        <v>291</v>
      </c>
      <c r="F708" s="202" t="s">
        <v>206</v>
      </c>
      <c r="G708" s="74">
        <f t="shared" si="126"/>
        <v>90</v>
      </c>
      <c r="H708" s="74">
        <f t="shared" si="126"/>
        <v>90</v>
      </c>
      <c r="I708" s="74">
        <f t="shared" si="126"/>
        <v>0</v>
      </c>
    </row>
    <row r="709" spans="1:9" ht="15" customHeight="1">
      <c r="A709" s="135" t="s">
        <v>221</v>
      </c>
      <c r="B709" s="111"/>
      <c r="C709" s="174" t="s">
        <v>179</v>
      </c>
      <c r="D709" s="174" t="s">
        <v>197</v>
      </c>
      <c r="E709" s="200" t="s">
        <v>291</v>
      </c>
      <c r="F709" s="202" t="s">
        <v>222</v>
      </c>
      <c r="G709" s="74">
        <v>90</v>
      </c>
      <c r="H709" s="74">
        <v>90</v>
      </c>
      <c r="I709" s="74">
        <f>G709-H709</f>
        <v>0</v>
      </c>
    </row>
    <row r="710" spans="1:9" s="32" customFormat="1" ht="17.25" customHeight="1">
      <c r="A710" s="186" t="s">
        <v>467</v>
      </c>
      <c r="B710" s="111"/>
      <c r="C710" s="174" t="s">
        <v>179</v>
      </c>
      <c r="D710" s="174" t="s">
        <v>197</v>
      </c>
      <c r="E710" s="201" t="s">
        <v>46</v>
      </c>
      <c r="F710" s="203"/>
      <c r="G710" s="78">
        <f>G711+G714+G717+G720+G723+G726+G729+G732+G735+G738</f>
        <v>20022.8</v>
      </c>
      <c r="H710" s="78">
        <f>H711+H714+H717+H720+H723+H726+H729+H732+H735+H738</f>
        <v>20022.8</v>
      </c>
      <c r="I710" s="78">
        <f>I711+I714+I717+I720+I723+I726+I729+I732+I735+I738</f>
        <v>0</v>
      </c>
    </row>
    <row r="711" spans="1:9" s="32" customFormat="1" ht="15.75">
      <c r="A711" s="165" t="s">
        <v>125</v>
      </c>
      <c r="B711" s="111"/>
      <c r="C711" s="174" t="s">
        <v>179</v>
      </c>
      <c r="D711" s="174" t="s">
        <v>197</v>
      </c>
      <c r="E711" s="200" t="s">
        <v>481</v>
      </c>
      <c r="F711" s="202"/>
      <c r="G711" s="74">
        <f aca="true" t="shared" si="127" ref="G711:I712">G712</f>
        <v>9864.7</v>
      </c>
      <c r="H711" s="74">
        <f t="shared" si="127"/>
        <v>9864.7</v>
      </c>
      <c r="I711" s="74">
        <f t="shared" si="127"/>
        <v>0</v>
      </c>
    </row>
    <row r="712" spans="1:9" ht="15" customHeight="1">
      <c r="A712" s="128" t="s">
        <v>220</v>
      </c>
      <c r="B712" s="111"/>
      <c r="C712" s="174" t="s">
        <v>179</v>
      </c>
      <c r="D712" s="174" t="s">
        <v>197</v>
      </c>
      <c r="E712" s="200" t="s">
        <v>481</v>
      </c>
      <c r="F712" s="202" t="s">
        <v>206</v>
      </c>
      <c r="G712" s="74">
        <f t="shared" si="127"/>
        <v>9864.7</v>
      </c>
      <c r="H712" s="74">
        <f t="shared" si="127"/>
        <v>9864.7</v>
      </c>
      <c r="I712" s="74">
        <f t="shared" si="127"/>
        <v>0</v>
      </c>
    </row>
    <row r="713" spans="1:9" s="32" customFormat="1" ht="17.25" customHeight="1">
      <c r="A713" s="135" t="s">
        <v>221</v>
      </c>
      <c r="B713" s="111"/>
      <c r="C713" s="174" t="s">
        <v>179</v>
      </c>
      <c r="D713" s="174" t="s">
        <v>197</v>
      </c>
      <c r="E713" s="200" t="s">
        <v>481</v>
      </c>
      <c r="F713" s="202" t="s">
        <v>222</v>
      </c>
      <c r="G713" s="74">
        <f>9764.7+100</f>
        <v>9864.7</v>
      </c>
      <c r="H713" s="74">
        <f>9764.7+100</f>
        <v>9864.7</v>
      </c>
      <c r="I713" s="74">
        <f>G713-H713</f>
        <v>0</v>
      </c>
    </row>
    <row r="714" spans="1:9" s="32" customFormat="1" ht="15.75">
      <c r="A714" s="144" t="s">
        <v>253</v>
      </c>
      <c r="B714" s="111"/>
      <c r="C714" s="174" t="s">
        <v>179</v>
      </c>
      <c r="D714" s="174" t="s">
        <v>197</v>
      </c>
      <c r="E714" s="200" t="s">
        <v>482</v>
      </c>
      <c r="F714" s="202"/>
      <c r="G714" s="74">
        <f aca="true" t="shared" si="128" ref="G714:I715">G715</f>
        <v>69.3</v>
      </c>
      <c r="H714" s="74">
        <f t="shared" si="128"/>
        <v>69.3</v>
      </c>
      <c r="I714" s="74">
        <f t="shared" si="128"/>
        <v>0</v>
      </c>
    </row>
    <row r="715" spans="1:9" ht="15" customHeight="1">
      <c r="A715" s="128" t="s">
        <v>220</v>
      </c>
      <c r="B715" s="111"/>
      <c r="C715" s="174" t="s">
        <v>179</v>
      </c>
      <c r="D715" s="174" t="s">
        <v>197</v>
      </c>
      <c r="E715" s="200" t="s">
        <v>482</v>
      </c>
      <c r="F715" s="202" t="s">
        <v>206</v>
      </c>
      <c r="G715" s="74">
        <f t="shared" si="128"/>
        <v>69.3</v>
      </c>
      <c r="H715" s="74">
        <f t="shared" si="128"/>
        <v>69.3</v>
      </c>
      <c r="I715" s="74">
        <f t="shared" si="128"/>
        <v>0</v>
      </c>
    </row>
    <row r="716" spans="1:9" s="32" customFormat="1" ht="17.25" customHeight="1">
      <c r="A716" s="135" t="s">
        <v>221</v>
      </c>
      <c r="B716" s="111"/>
      <c r="C716" s="174" t="s">
        <v>179</v>
      </c>
      <c r="D716" s="174" t="s">
        <v>197</v>
      </c>
      <c r="E716" s="200" t="s">
        <v>482</v>
      </c>
      <c r="F716" s="202" t="s">
        <v>222</v>
      </c>
      <c r="G716" s="74">
        <v>69.3</v>
      </c>
      <c r="H716" s="74">
        <v>69.3</v>
      </c>
      <c r="I716" s="74">
        <f>G716-H716</f>
        <v>0</v>
      </c>
    </row>
    <row r="717" spans="1:9" s="32" customFormat="1" ht="17.25" customHeight="1">
      <c r="A717" s="135" t="s">
        <v>8</v>
      </c>
      <c r="B717" s="111"/>
      <c r="C717" s="174" t="s">
        <v>179</v>
      </c>
      <c r="D717" s="174" t="s">
        <v>197</v>
      </c>
      <c r="E717" s="200" t="s">
        <v>615</v>
      </c>
      <c r="F717" s="202"/>
      <c r="G717" s="74">
        <f aca="true" t="shared" si="129" ref="G717:I718">G718</f>
        <v>1096.4</v>
      </c>
      <c r="H717" s="74">
        <f t="shared" si="129"/>
        <v>1096.4</v>
      </c>
      <c r="I717" s="74">
        <f t="shared" si="129"/>
        <v>0</v>
      </c>
    </row>
    <row r="718" spans="1:9" s="32" customFormat="1" ht="17.25" customHeight="1">
      <c r="A718" s="128" t="s">
        <v>220</v>
      </c>
      <c r="B718" s="111"/>
      <c r="C718" s="174" t="s">
        <v>179</v>
      </c>
      <c r="D718" s="174" t="s">
        <v>197</v>
      </c>
      <c r="E718" s="200" t="s">
        <v>615</v>
      </c>
      <c r="F718" s="202" t="s">
        <v>356</v>
      </c>
      <c r="G718" s="74">
        <f t="shared" si="129"/>
        <v>1096.4</v>
      </c>
      <c r="H718" s="74">
        <f t="shared" si="129"/>
        <v>1096.4</v>
      </c>
      <c r="I718" s="74">
        <f t="shared" si="129"/>
        <v>0</v>
      </c>
    </row>
    <row r="719" spans="1:9" s="32" customFormat="1" ht="17.25" customHeight="1">
      <c r="A719" s="135" t="s">
        <v>221</v>
      </c>
      <c r="B719" s="111"/>
      <c r="C719" s="174" t="s">
        <v>179</v>
      </c>
      <c r="D719" s="174" t="s">
        <v>197</v>
      </c>
      <c r="E719" s="200" t="s">
        <v>615</v>
      </c>
      <c r="F719" s="202" t="s">
        <v>222</v>
      </c>
      <c r="G719" s="74">
        <v>1096.4</v>
      </c>
      <c r="H719" s="74">
        <v>1096.4</v>
      </c>
      <c r="I719" s="74">
        <f>G719-H719</f>
        <v>0</v>
      </c>
    </row>
    <row r="720" spans="1:9" s="32" customFormat="1" ht="17.25" customHeight="1">
      <c r="A720" s="135" t="s">
        <v>368</v>
      </c>
      <c r="B720" s="111"/>
      <c r="C720" s="174" t="s">
        <v>179</v>
      </c>
      <c r="D720" s="174" t="s">
        <v>197</v>
      </c>
      <c r="E720" s="200" t="s">
        <v>645</v>
      </c>
      <c r="F720" s="202"/>
      <c r="G720" s="74">
        <f aca="true" t="shared" si="130" ref="G720:I721">G721</f>
        <v>1477</v>
      </c>
      <c r="H720" s="74">
        <f t="shared" si="130"/>
        <v>1450</v>
      </c>
      <c r="I720" s="74">
        <f t="shared" si="130"/>
        <v>27</v>
      </c>
    </row>
    <row r="721" spans="1:9" s="32" customFormat="1" ht="17.25" customHeight="1">
      <c r="A721" s="128" t="s">
        <v>220</v>
      </c>
      <c r="B721" s="111"/>
      <c r="C721" s="174" t="s">
        <v>179</v>
      </c>
      <c r="D721" s="174" t="s">
        <v>197</v>
      </c>
      <c r="E721" s="200" t="s">
        <v>645</v>
      </c>
      <c r="F721" s="202" t="s">
        <v>356</v>
      </c>
      <c r="G721" s="74">
        <f t="shared" si="130"/>
        <v>1477</v>
      </c>
      <c r="H721" s="74">
        <f t="shared" si="130"/>
        <v>1450</v>
      </c>
      <c r="I721" s="74">
        <f t="shared" si="130"/>
        <v>27</v>
      </c>
    </row>
    <row r="722" spans="1:9" s="32" customFormat="1" ht="17.25" customHeight="1">
      <c r="A722" s="135" t="s">
        <v>221</v>
      </c>
      <c r="B722" s="111"/>
      <c r="C722" s="174" t="s">
        <v>179</v>
      </c>
      <c r="D722" s="174" t="s">
        <v>197</v>
      </c>
      <c r="E722" s="200" t="s">
        <v>645</v>
      </c>
      <c r="F722" s="202" t="s">
        <v>222</v>
      </c>
      <c r="G722" s="74">
        <v>1477</v>
      </c>
      <c r="H722" s="74">
        <v>1450</v>
      </c>
      <c r="I722" s="74">
        <f>G722-H722</f>
        <v>27</v>
      </c>
    </row>
    <row r="723" spans="1:9" s="32" customFormat="1" ht="15.75">
      <c r="A723" s="130" t="s">
        <v>324</v>
      </c>
      <c r="B723" s="111"/>
      <c r="C723" s="174" t="s">
        <v>179</v>
      </c>
      <c r="D723" s="174" t="s">
        <v>197</v>
      </c>
      <c r="E723" s="200" t="s">
        <v>483</v>
      </c>
      <c r="F723" s="202"/>
      <c r="G723" s="74">
        <f aca="true" t="shared" si="131" ref="G723:I724">G724</f>
        <v>20</v>
      </c>
      <c r="H723" s="74">
        <f t="shared" si="131"/>
        <v>20</v>
      </c>
      <c r="I723" s="74">
        <f t="shared" si="131"/>
        <v>0</v>
      </c>
    </row>
    <row r="724" spans="1:9" s="32" customFormat="1" ht="15.75">
      <c r="A724" s="128" t="s">
        <v>220</v>
      </c>
      <c r="B724" s="111"/>
      <c r="C724" s="174" t="s">
        <v>179</v>
      </c>
      <c r="D724" s="174" t="s">
        <v>197</v>
      </c>
      <c r="E724" s="200" t="s">
        <v>483</v>
      </c>
      <c r="F724" s="202" t="s">
        <v>356</v>
      </c>
      <c r="G724" s="74">
        <f t="shared" si="131"/>
        <v>20</v>
      </c>
      <c r="H724" s="74">
        <f t="shared" si="131"/>
        <v>20</v>
      </c>
      <c r="I724" s="74">
        <f t="shared" si="131"/>
        <v>0</v>
      </c>
    </row>
    <row r="725" spans="1:9" s="32" customFormat="1" ht="15.75">
      <c r="A725" s="135" t="s">
        <v>221</v>
      </c>
      <c r="B725" s="111"/>
      <c r="C725" s="174" t="s">
        <v>179</v>
      </c>
      <c r="D725" s="174" t="s">
        <v>197</v>
      </c>
      <c r="E725" s="200" t="s">
        <v>483</v>
      </c>
      <c r="F725" s="202" t="s">
        <v>222</v>
      </c>
      <c r="G725" s="74">
        <v>20</v>
      </c>
      <c r="H725" s="74">
        <v>20</v>
      </c>
      <c r="I725" s="74">
        <f>G725-H725</f>
        <v>0</v>
      </c>
    </row>
    <row r="726" spans="1:9" s="32" customFormat="1" ht="16.5" customHeight="1">
      <c r="A726" s="144" t="s">
        <v>325</v>
      </c>
      <c r="B726" s="111"/>
      <c r="C726" s="174" t="s">
        <v>179</v>
      </c>
      <c r="D726" s="174" t="s">
        <v>197</v>
      </c>
      <c r="E726" s="200" t="s">
        <v>484</v>
      </c>
      <c r="F726" s="202"/>
      <c r="G726" s="74">
        <f aca="true" t="shared" si="132" ref="G726:I727">G727</f>
        <v>162.8</v>
      </c>
      <c r="H726" s="74">
        <f t="shared" si="132"/>
        <v>162.8</v>
      </c>
      <c r="I726" s="74">
        <f t="shared" si="132"/>
        <v>0</v>
      </c>
    </row>
    <row r="727" spans="1:9" s="32" customFormat="1" ht="15.75">
      <c r="A727" s="128" t="s">
        <v>220</v>
      </c>
      <c r="B727" s="111"/>
      <c r="C727" s="174" t="s">
        <v>179</v>
      </c>
      <c r="D727" s="174" t="s">
        <v>197</v>
      </c>
      <c r="E727" s="200" t="s">
        <v>484</v>
      </c>
      <c r="F727" s="202" t="s">
        <v>356</v>
      </c>
      <c r="G727" s="74">
        <f t="shared" si="132"/>
        <v>162.8</v>
      </c>
      <c r="H727" s="74">
        <f t="shared" si="132"/>
        <v>162.8</v>
      </c>
      <c r="I727" s="74">
        <f t="shared" si="132"/>
        <v>0</v>
      </c>
    </row>
    <row r="728" spans="1:9" s="32" customFormat="1" ht="15.75">
      <c r="A728" s="135" t="s">
        <v>221</v>
      </c>
      <c r="B728" s="111"/>
      <c r="C728" s="174" t="s">
        <v>179</v>
      </c>
      <c r="D728" s="174" t="s">
        <v>197</v>
      </c>
      <c r="E728" s="200" t="s">
        <v>484</v>
      </c>
      <c r="F728" s="202" t="s">
        <v>222</v>
      </c>
      <c r="G728" s="74">
        <f>235-72.2</f>
        <v>162.8</v>
      </c>
      <c r="H728" s="74">
        <f>235-72.2</f>
        <v>162.8</v>
      </c>
      <c r="I728" s="74">
        <f>G728-H728</f>
        <v>0</v>
      </c>
    </row>
    <row r="729" spans="1:9" s="32" customFormat="1" ht="15.75">
      <c r="A729" s="187" t="s">
        <v>326</v>
      </c>
      <c r="B729" s="111"/>
      <c r="C729" s="174" t="s">
        <v>179</v>
      </c>
      <c r="D729" s="174" t="s">
        <v>197</v>
      </c>
      <c r="E729" s="202" t="s">
        <v>571</v>
      </c>
      <c r="F729" s="202"/>
      <c r="G729" s="74">
        <f aca="true" t="shared" si="133" ref="G729:I730">G730</f>
        <v>1100.7</v>
      </c>
      <c r="H729" s="74">
        <f t="shared" si="133"/>
        <v>1100.7</v>
      </c>
      <c r="I729" s="74">
        <f t="shared" si="133"/>
        <v>0</v>
      </c>
    </row>
    <row r="730" spans="1:9" s="32" customFormat="1" ht="15.75">
      <c r="A730" s="187" t="s">
        <v>220</v>
      </c>
      <c r="B730" s="111"/>
      <c r="C730" s="174" t="s">
        <v>179</v>
      </c>
      <c r="D730" s="174" t="s">
        <v>197</v>
      </c>
      <c r="E730" s="202" t="s">
        <v>571</v>
      </c>
      <c r="F730" s="202" t="s">
        <v>206</v>
      </c>
      <c r="G730" s="74">
        <f t="shared" si="133"/>
        <v>1100.7</v>
      </c>
      <c r="H730" s="74">
        <f t="shared" si="133"/>
        <v>1100.7</v>
      </c>
      <c r="I730" s="74">
        <f t="shared" si="133"/>
        <v>0</v>
      </c>
    </row>
    <row r="731" spans="1:9" s="32" customFormat="1" ht="15.75">
      <c r="A731" s="187" t="s">
        <v>221</v>
      </c>
      <c r="B731" s="111"/>
      <c r="C731" s="174" t="s">
        <v>179</v>
      </c>
      <c r="D731" s="174" t="s">
        <v>197</v>
      </c>
      <c r="E731" s="202" t="s">
        <v>571</v>
      </c>
      <c r="F731" s="202" t="s">
        <v>222</v>
      </c>
      <c r="G731" s="74">
        <v>1100.7</v>
      </c>
      <c r="H731" s="74">
        <v>1100.7</v>
      </c>
      <c r="I731" s="74">
        <f>G731-H731</f>
        <v>0</v>
      </c>
    </row>
    <row r="732" spans="1:9" s="32" customFormat="1" ht="20.25" customHeight="1">
      <c r="A732" s="108" t="s">
        <v>327</v>
      </c>
      <c r="B732" s="111"/>
      <c r="C732" s="174" t="s">
        <v>179</v>
      </c>
      <c r="D732" s="174" t="s">
        <v>197</v>
      </c>
      <c r="E732" s="200" t="s">
        <v>485</v>
      </c>
      <c r="F732" s="202"/>
      <c r="G732" s="74">
        <f aca="true" t="shared" si="134" ref="G732:I733">G733</f>
        <v>909.2</v>
      </c>
      <c r="H732" s="74">
        <f t="shared" si="134"/>
        <v>936.2</v>
      </c>
      <c r="I732" s="74">
        <f t="shared" si="134"/>
        <v>-27</v>
      </c>
    </row>
    <row r="733" spans="1:9" s="32" customFormat="1" ht="15.75">
      <c r="A733" s="128" t="s">
        <v>220</v>
      </c>
      <c r="B733" s="111"/>
      <c r="C733" s="174" t="s">
        <v>179</v>
      </c>
      <c r="D733" s="174" t="s">
        <v>197</v>
      </c>
      <c r="E733" s="200" t="s">
        <v>485</v>
      </c>
      <c r="F733" s="202" t="s">
        <v>356</v>
      </c>
      <c r="G733" s="74">
        <f t="shared" si="134"/>
        <v>909.2</v>
      </c>
      <c r="H733" s="74">
        <f t="shared" si="134"/>
        <v>936.2</v>
      </c>
      <c r="I733" s="74">
        <f t="shared" si="134"/>
        <v>-27</v>
      </c>
    </row>
    <row r="734" spans="1:9" s="32" customFormat="1" ht="18" customHeight="1">
      <c r="A734" s="135" t="s">
        <v>221</v>
      </c>
      <c r="B734" s="111"/>
      <c r="C734" s="174" t="s">
        <v>179</v>
      </c>
      <c r="D734" s="174" t="s">
        <v>197</v>
      </c>
      <c r="E734" s="200" t="s">
        <v>485</v>
      </c>
      <c r="F734" s="202" t="s">
        <v>222</v>
      </c>
      <c r="G734" s="74">
        <v>909.2</v>
      </c>
      <c r="H734" s="74">
        <v>936.2</v>
      </c>
      <c r="I734" s="74">
        <f>G734-H734</f>
        <v>-27</v>
      </c>
    </row>
    <row r="735" spans="1:9" s="32" customFormat="1" ht="18.75" customHeight="1">
      <c r="A735" s="172" t="s">
        <v>379</v>
      </c>
      <c r="B735" s="111"/>
      <c r="C735" s="174" t="s">
        <v>179</v>
      </c>
      <c r="D735" s="174" t="s">
        <v>197</v>
      </c>
      <c r="E735" s="200" t="s">
        <v>486</v>
      </c>
      <c r="F735" s="202"/>
      <c r="G735" s="74">
        <f aca="true" t="shared" si="135" ref="G735:I736">G736</f>
        <v>5063.7</v>
      </c>
      <c r="H735" s="74">
        <f t="shared" si="135"/>
        <v>5063.7</v>
      </c>
      <c r="I735" s="74">
        <f t="shared" si="135"/>
        <v>0</v>
      </c>
    </row>
    <row r="736" spans="1:9" s="32" customFormat="1" ht="15.75">
      <c r="A736" s="128" t="s">
        <v>220</v>
      </c>
      <c r="B736" s="111"/>
      <c r="C736" s="174" t="s">
        <v>179</v>
      </c>
      <c r="D736" s="174" t="s">
        <v>197</v>
      </c>
      <c r="E736" s="200" t="s">
        <v>486</v>
      </c>
      <c r="F736" s="202" t="s">
        <v>206</v>
      </c>
      <c r="G736" s="74">
        <f t="shared" si="135"/>
        <v>5063.7</v>
      </c>
      <c r="H736" s="74">
        <f t="shared" si="135"/>
        <v>5063.7</v>
      </c>
      <c r="I736" s="74">
        <f t="shared" si="135"/>
        <v>0</v>
      </c>
    </row>
    <row r="737" spans="1:9" s="32" customFormat="1" ht="15.75">
      <c r="A737" s="135" t="s">
        <v>221</v>
      </c>
      <c r="B737" s="111"/>
      <c r="C737" s="174" t="s">
        <v>179</v>
      </c>
      <c r="D737" s="174" t="s">
        <v>197</v>
      </c>
      <c r="E737" s="200" t="s">
        <v>486</v>
      </c>
      <c r="F737" s="202" t="s">
        <v>222</v>
      </c>
      <c r="G737" s="74">
        <v>5063.7</v>
      </c>
      <c r="H737" s="74">
        <v>5063.7</v>
      </c>
      <c r="I737" s="74">
        <f>G737-H737</f>
        <v>0</v>
      </c>
    </row>
    <row r="738" spans="1:9" s="32" customFormat="1" ht="26.25">
      <c r="A738" s="188" t="s">
        <v>573</v>
      </c>
      <c r="B738" s="111"/>
      <c r="C738" s="174" t="s">
        <v>179</v>
      </c>
      <c r="D738" s="174" t="s">
        <v>197</v>
      </c>
      <c r="E738" s="202" t="s">
        <v>572</v>
      </c>
      <c r="F738" s="202"/>
      <c r="G738" s="74">
        <f aca="true" t="shared" si="136" ref="G738:I739">G739</f>
        <v>259</v>
      </c>
      <c r="H738" s="74">
        <f t="shared" si="136"/>
        <v>259</v>
      </c>
      <c r="I738" s="74">
        <f t="shared" si="136"/>
        <v>0</v>
      </c>
    </row>
    <row r="739" spans="1:9" s="32" customFormat="1" ht="15.75">
      <c r="A739" s="128" t="s">
        <v>220</v>
      </c>
      <c r="B739" s="111"/>
      <c r="C739" s="174" t="s">
        <v>179</v>
      </c>
      <c r="D739" s="174" t="s">
        <v>197</v>
      </c>
      <c r="E739" s="202" t="s">
        <v>572</v>
      </c>
      <c r="F739" s="202" t="s">
        <v>206</v>
      </c>
      <c r="G739" s="74">
        <f t="shared" si="136"/>
        <v>259</v>
      </c>
      <c r="H739" s="74">
        <f t="shared" si="136"/>
        <v>259</v>
      </c>
      <c r="I739" s="74">
        <f t="shared" si="136"/>
        <v>0</v>
      </c>
    </row>
    <row r="740" spans="1:9" s="32" customFormat="1" ht="15.75">
      <c r="A740" s="135" t="s">
        <v>221</v>
      </c>
      <c r="B740" s="111"/>
      <c r="C740" s="174" t="s">
        <v>179</v>
      </c>
      <c r="D740" s="174" t="s">
        <v>197</v>
      </c>
      <c r="E740" s="202" t="s">
        <v>572</v>
      </c>
      <c r="F740" s="202" t="s">
        <v>222</v>
      </c>
      <c r="G740" s="74">
        <v>259</v>
      </c>
      <c r="H740" s="74">
        <v>259</v>
      </c>
      <c r="I740" s="74">
        <f>G740-H740</f>
        <v>0</v>
      </c>
    </row>
    <row r="741" spans="1:9" s="32" customFormat="1" ht="15.75">
      <c r="A741" s="139" t="s">
        <v>532</v>
      </c>
      <c r="B741" s="140" t="s">
        <v>531</v>
      </c>
      <c r="C741" s="222"/>
      <c r="D741" s="222"/>
      <c r="E741" s="223"/>
      <c r="F741" s="222"/>
      <c r="G741" s="78">
        <f>G742+G755</f>
        <v>4174.9</v>
      </c>
      <c r="H741" s="78">
        <f>H742+H755</f>
        <v>4174.9</v>
      </c>
      <c r="I741" s="78">
        <f>I742+I755</f>
        <v>0</v>
      </c>
    </row>
    <row r="742" spans="1:9" ht="15.75">
      <c r="A742" s="106" t="s">
        <v>154</v>
      </c>
      <c r="B742" s="107"/>
      <c r="C742" s="173" t="s">
        <v>180</v>
      </c>
      <c r="D742" s="174"/>
      <c r="E742" s="200" t="s">
        <v>201</v>
      </c>
      <c r="F742" s="174"/>
      <c r="G742" s="78">
        <f>G743+G750</f>
        <v>4122.9</v>
      </c>
      <c r="H742" s="78">
        <f>H743+H750</f>
        <v>4122.9</v>
      </c>
      <c r="I742" s="78">
        <f>I743+I750</f>
        <v>0</v>
      </c>
    </row>
    <row r="743" spans="1:9" s="32" customFormat="1" ht="15.75" customHeight="1">
      <c r="A743" s="125" t="s">
        <v>238</v>
      </c>
      <c r="B743" s="137"/>
      <c r="C743" s="173" t="s">
        <v>180</v>
      </c>
      <c r="D743" s="173" t="s">
        <v>196</v>
      </c>
      <c r="E743" s="201" t="s">
        <v>201</v>
      </c>
      <c r="F743" s="224"/>
      <c r="G743" s="98">
        <f>G745</f>
        <v>4062.9</v>
      </c>
      <c r="H743" s="98">
        <f>H745</f>
        <v>4062.9</v>
      </c>
      <c r="I743" s="98">
        <f>I745</f>
        <v>0</v>
      </c>
    </row>
    <row r="744" spans="1:9" s="32" customFormat="1" ht="15.75">
      <c r="A744" s="189" t="s">
        <v>424</v>
      </c>
      <c r="B744" s="107"/>
      <c r="C744" s="173" t="s">
        <v>180</v>
      </c>
      <c r="D744" s="173" t="s">
        <v>196</v>
      </c>
      <c r="E744" s="201" t="s">
        <v>455</v>
      </c>
      <c r="F744" s="202"/>
      <c r="G744" s="74">
        <f>G745</f>
        <v>4062.9</v>
      </c>
      <c r="H744" s="74">
        <f>H745</f>
        <v>4062.9</v>
      </c>
      <c r="I744" s="74">
        <f>I745</f>
        <v>0</v>
      </c>
    </row>
    <row r="745" spans="1:9" s="32" customFormat="1" ht="15.75">
      <c r="A745" s="110" t="s">
        <v>144</v>
      </c>
      <c r="B745" s="107"/>
      <c r="C745" s="174" t="s">
        <v>180</v>
      </c>
      <c r="D745" s="174" t="s">
        <v>196</v>
      </c>
      <c r="E745" s="200" t="s">
        <v>536</v>
      </c>
      <c r="F745" s="202"/>
      <c r="G745" s="74">
        <f>G746+G748</f>
        <v>4062.9</v>
      </c>
      <c r="H745" s="74">
        <f>H746+H748</f>
        <v>4062.9</v>
      </c>
      <c r="I745" s="74">
        <f>I746+I748</f>
        <v>0</v>
      </c>
    </row>
    <row r="746" spans="1:9" s="32" customFormat="1" ht="25.5">
      <c r="A746" s="110" t="s">
        <v>139</v>
      </c>
      <c r="B746" s="107"/>
      <c r="C746" s="174" t="s">
        <v>180</v>
      </c>
      <c r="D746" s="174" t="s">
        <v>196</v>
      </c>
      <c r="E746" s="200" t="s">
        <v>536</v>
      </c>
      <c r="F746" s="202" t="s">
        <v>228</v>
      </c>
      <c r="G746" s="74">
        <f>G747</f>
        <v>3463.33142</v>
      </c>
      <c r="H746" s="74">
        <f>H747</f>
        <v>3677.9</v>
      </c>
      <c r="I746" s="74">
        <f>I747</f>
        <v>-214.5685800000001</v>
      </c>
    </row>
    <row r="747" spans="1:9" s="32" customFormat="1" ht="15.75">
      <c r="A747" s="110" t="s">
        <v>223</v>
      </c>
      <c r="B747" s="113"/>
      <c r="C747" s="174" t="s">
        <v>180</v>
      </c>
      <c r="D747" s="174" t="s">
        <v>196</v>
      </c>
      <c r="E747" s="200" t="s">
        <v>536</v>
      </c>
      <c r="F747" s="202" t="s">
        <v>224</v>
      </c>
      <c r="G747" s="74">
        <f>3677.9-155.54728-12.0213-47</f>
        <v>3463.33142</v>
      </c>
      <c r="H747" s="74">
        <v>3677.9</v>
      </c>
      <c r="I747" s="74">
        <f>G747-H747</f>
        <v>-214.5685800000001</v>
      </c>
    </row>
    <row r="748" spans="1:9" s="32" customFormat="1" ht="15.75">
      <c r="A748" s="110" t="s">
        <v>264</v>
      </c>
      <c r="B748" s="113"/>
      <c r="C748" s="174" t="s">
        <v>180</v>
      </c>
      <c r="D748" s="174" t="s">
        <v>196</v>
      </c>
      <c r="E748" s="200" t="s">
        <v>536</v>
      </c>
      <c r="F748" s="202" t="s">
        <v>216</v>
      </c>
      <c r="G748" s="74">
        <f>G749</f>
        <v>599.56858</v>
      </c>
      <c r="H748" s="74">
        <f>H749</f>
        <v>385</v>
      </c>
      <c r="I748" s="74">
        <f>I749</f>
        <v>214.56858</v>
      </c>
    </row>
    <row r="749" spans="1:9" s="32" customFormat="1" ht="15.75">
      <c r="A749" s="110" t="s">
        <v>217</v>
      </c>
      <c r="B749" s="113"/>
      <c r="C749" s="174" t="s">
        <v>180</v>
      </c>
      <c r="D749" s="174" t="s">
        <v>196</v>
      </c>
      <c r="E749" s="200" t="s">
        <v>536</v>
      </c>
      <c r="F749" s="202" t="s">
        <v>215</v>
      </c>
      <c r="G749" s="74">
        <f>385+214.56858</f>
        <v>599.56858</v>
      </c>
      <c r="H749" s="74">
        <v>385</v>
      </c>
      <c r="I749" s="74">
        <f>G749-H749</f>
        <v>214.56858</v>
      </c>
    </row>
    <row r="750" spans="1:9" s="32" customFormat="1" ht="15.75">
      <c r="A750" s="125" t="s">
        <v>165</v>
      </c>
      <c r="B750" s="127"/>
      <c r="C750" s="153" t="s">
        <v>180</v>
      </c>
      <c r="D750" s="153" t="s">
        <v>146</v>
      </c>
      <c r="E750" s="201"/>
      <c r="F750" s="211"/>
      <c r="G750" s="78">
        <f aca="true" t="shared" si="137" ref="G750:H753">G751</f>
        <v>60</v>
      </c>
      <c r="H750" s="78">
        <f t="shared" si="137"/>
        <v>60</v>
      </c>
      <c r="I750" s="78">
        <f>I751</f>
        <v>0</v>
      </c>
    </row>
    <row r="751" spans="1:9" s="32" customFormat="1" ht="15.75">
      <c r="A751" s="126" t="s">
        <v>424</v>
      </c>
      <c r="B751" s="127"/>
      <c r="C751" s="153" t="s">
        <v>180</v>
      </c>
      <c r="D751" s="153" t="s">
        <v>146</v>
      </c>
      <c r="E751" s="201" t="s">
        <v>455</v>
      </c>
      <c r="F751" s="211"/>
      <c r="G751" s="78">
        <f t="shared" si="137"/>
        <v>60</v>
      </c>
      <c r="H751" s="78">
        <f t="shared" si="137"/>
        <v>60</v>
      </c>
      <c r="I751" s="78">
        <f>I752</f>
        <v>0</v>
      </c>
    </row>
    <row r="752" spans="1:9" s="32" customFormat="1" ht="15.75">
      <c r="A752" s="112" t="s">
        <v>111</v>
      </c>
      <c r="B752" s="113"/>
      <c r="C752" s="152" t="s">
        <v>180</v>
      </c>
      <c r="D752" s="152" t="s">
        <v>146</v>
      </c>
      <c r="E752" s="210" t="s">
        <v>456</v>
      </c>
      <c r="F752" s="208"/>
      <c r="G752" s="74">
        <f t="shared" si="137"/>
        <v>60</v>
      </c>
      <c r="H752" s="74">
        <f t="shared" si="137"/>
        <v>60</v>
      </c>
      <c r="I752" s="74">
        <f>I753</f>
        <v>0</v>
      </c>
    </row>
    <row r="753" spans="1:9" s="34" customFormat="1" ht="15.75">
      <c r="A753" s="110" t="s">
        <v>264</v>
      </c>
      <c r="B753" s="111"/>
      <c r="C753" s="152" t="s">
        <v>180</v>
      </c>
      <c r="D753" s="152" t="s">
        <v>146</v>
      </c>
      <c r="E753" s="210" t="s">
        <v>456</v>
      </c>
      <c r="F753" s="208" t="s">
        <v>216</v>
      </c>
      <c r="G753" s="74">
        <f t="shared" si="137"/>
        <v>60</v>
      </c>
      <c r="H753" s="74">
        <f t="shared" si="137"/>
        <v>60</v>
      </c>
      <c r="I753" s="74">
        <f>I754</f>
        <v>0</v>
      </c>
    </row>
    <row r="754" spans="1:9" s="32" customFormat="1" ht="15.75">
      <c r="A754" s="110" t="s">
        <v>217</v>
      </c>
      <c r="B754" s="113"/>
      <c r="C754" s="152" t="s">
        <v>180</v>
      </c>
      <c r="D754" s="152" t="s">
        <v>146</v>
      </c>
      <c r="E754" s="210" t="s">
        <v>456</v>
      </c>
      <c r="F754" s="208" t="s">
        <v>215</v>
      </c>
      <c r="G754" s="74">
        <v>60</v>
      </c>
      <c r="H754" s="74">
        <v>60</v>
      </c>
      <c r="I754" s="74">
        <f>G754-H754</f>
        <v>0</v>
      </c>
    </row>
    <row r="755" spans="1:9" ht="15.75">
      <c r="A755" s="106" t="s">
        <v>178</v>
      </c>
      <c r="B755" s="107"/>
      <c r="C755" s="173" t="s">
        <v>150</v>
      </c>
      <c r="D755" s="174"/>
      <c r="E755" s="200" t="s">
        <v>201</v>
      </c>
      <c r="F755" s="174"/>
      <c r="G755" s="78">
        <f aca="true" t="shared" si="138" ref="G755:H759">G756</f>
        <v>52</v>
      </c>
      <c r="H755" s="78">
        <f t="shared" si="138"/>
        <v>52</v>
      </c>
      <c r="I755" s="78">
        <f>I756</f>
        <v>0</v>
      </c>
    </row>
    <row r="756" spans="1:9" s="32" customFormat="1" ht="15.75" customHeight="1">
      <c r="A756" s="125" t="s">
        <v>423</v>
      </c>
      <c r="B756" s="137"/>
      <c r="C756" s="173" t="s">
        <v>150</v>
      </c>
      <c r="D756" s="173" t="s">
        <v>153</v>
      </c>
      <c r="E756" s="201" t="s">
        <v>201</v>
      </c>
      <c r="F756" s="224"/>
      <c r="G756" s="98">
        <f t="shared" si="138"/>
        <v>52</v>
      </c>
      <c r="H756" s="98">
        <f t="shared" si="138"/>
        <v>52</v>
      </c>
      <c r="I756" s="98">
        <f>I757</f>
        <v>0</v>
      </c>
    </row>
    <row r="757" spans="1:9" s="32" customFormat="1" ht="18" customHeight="1">
      <c r="A757" s="125" t="s">
        <v>424</v>
      </c>
      <c r="B757" s="137"/>
      <c r="C757" s="173" t="s">
        <v>150</v>
      </c>
      <c r="D757" s="173" t="s">
        <v>153</v>
      </c>
      <c r="E757" s="201" t="s">
        <v>455</v>
      </c>
      <c r="F757" s="224"/>
      <c r="G757" s="98">
        <f t="shared" si="138"/>
        <v>52</v>
      </c>
      <c r="H757" s="98">
        <f t="shared" si="138"/>
        <v>52</v>
      </c>
      <c r="I757" s="98">
        <f>I758</f>
        <v>0</v>
      </c>
    </row>
    <row r="758" spans="1:9" s="32" customFormat="1" ht="18.75" customHeight="1">
      <c r="A758" s="112" t="s">
        <v>427</v>
      </c>
      <c r="B758" s="137"/>
      <c r="C758" s="174" t="s">
        <v>150</v>
      </c>
      <c r="D758" s="174" t="s">
        <v>153</v>
      </c>
      <c r="E758" s="200" t="s">
        <v>426</v>
      </c>
      <c r="F758" s="225"/>
      <c r="G758" s="99">
        <f t="shared" si="138"/>
        <v>52</v>
      </c>
      <c r="H758" s="99">
        <f t="shared" si="138"/>
        <v>52</v>
      </c>
      <c r="I758" s="99">
        <f>I759</f>
        <v>0</v>
      </c>
    </row>
    <row r="759" spans="1:9" s="32" customFormat="1" ht="15.75">
      <c r="A759" s="128" t="s">
        <v>102</v>
      </c>
      <c r="B759" s="137"/>
      <c r="C759" s="174" t="s">
        <v>150</v>
      </c>
      <c r="D759" s="174" t="s">
        <v>153</v>
      </c>
      <c r="E759" s="200" t="s">
        <v>426</v>
      </c>
      <c r="F759" s="202" t="s">
        <v>98</v>
      </c>
      <c r="G759" s="99">
        <f t="shared" si="138"/>
        <v>52</v>
      </c>
      <c r="H759" s="99">
        <f t="shared" si="138"/>
        <v>52</v>
      </c>
      <c r="I759" s="99">
        <f>I760</f>
        <v>0</v>
      </c>
    </row>
    <row r="760" spans="1:9" s="32" customFormat="1" ht="15.75">
      <c r="A760" s="112" t="s">
        <v>97</v>
      </c>
      <c r="B760" s="137"/>
      <c r="C760" s="174" t="s">
        <v>150</v>
      </c>
      <c r="D760" s="174" t="s">
        <v>153</v>
      </c>
      <c r="E760" s="200" t="s">
        <v>426</v>
      </c>
      <c r="F760" s="202" t="s">
        <v>99</v>
      </c>
      <c r="G760" s="74">
        <v>52</v>
      </c>
      <c r="H760" s="74">
        <v>52</v>
      </c>
      <c r="I760" s="74">
        <f>G760-H760</f>
        <v>0</v>
      </c>
    </row>
    <row r="761" spans="1:9" s="32" customFormat="1" ht="26.25">
      <c r="A761" s="139" t="s">
        <v>418</v>
      </c>
      <c r="B761" s="140" t="s">
        <v>212</v>
      </c>
      <c r="C761" s="222"/>
      <c r="D761" s="222"/>
      <c r="E761" s="223"/>
      <c r="F761" s="222"/>
      <c r="G761" s="78">
        <f>G762+G785+G801+G817</f>
        <v>26533.472</v>
      </c>
      <c r="H761" s="78">
        <f>H762+H785+H801+H817</f>
        <v>26533.472</v>
      </c>
      <c r="I761" s="78">
        <f>I762+I785+I801+I817</f>
        <v>0</v>
      </c>
    </row>
    <row r="762" spans="1:9" ht="15.75">
      <c r="A762" s="106" t="s">
        <v>154</v>
      </c>
      <c r="B762" s="107"/>
      <c r="C762" s="173" t="s">
        <v>180</v>
      </c>
      <c r="D762" s="174"/>
      <c r="E762" s="200" t="s">
        <v>201</v>
      </c>
      <c r="F762" s="174"/>
      <c r="G762" s="78">
        <f aca="true" t="shared" si="139" ref="G762:I763">G763</f>
        <v>16444.915</v>
      </c>
      <c r="H762" s="78">
        <f t="shared" si="139"/>
        <v>16444.915</v>
      </c>
      <c r="I762" s="78">
        <f t="shared" si="139"/>
        <v>0</v>
      </c>
    </row>
    <row r="763" spans="1:9" s="32" customFormat="1" ht="18" customHeight="1">
      <c r="A763" s="125" t="s">
        <v>165</v>
      </c>
      <c r="B763" s="137"/>
      <c r="C763" s="173" t="s">
        <v>180</v>
      </c>
      <c r="D763" s="173" t="s">
        <v>146</v>
      </c>
      <c r="E763" s="201" t="s">
        <v>201</v>
      </c>
      <c r="F763" s="224"/>
      <c r="G763" s="98">
        <f t="shared" si="139"/>
        <v>16444.915</v>
      </c>
      <c r="H763" s="98">
        <f t="shared" si="139"/>
        <v>16444.915</v>
      </c>
      <c r="I763" s="98">
        <f t="shared" si="139"/>
        <v>0</v>
      </c>
    </row>
    <row r="764" spans="1:9" s="32" customFormat="1" ht="18" customHeight="1">
      <c r="A764" s="125" t="s">
        <v>496</v>
      </c>
      <c r="B764" s="137"/>
      <c r="C764" s="173" t="s">
        <v>180</v>
      </c>
      <c r="D764" s="173" t="s">
        <v>146</v>
      </c>
      <c r="E764" s="201" t="s">
        <v>22</v>
      </c>
      <c r="F764" s="224"/>
      <c r="G764" s="98">
        <f>G765+G779+G770+G776+G782</f>
        <v>16444.915</v>
      </c>
      <c r="H764" s="98">
        <f>H765+H779+H770+H776+H782</f>
        <v>16444.915</v>
      </c>
      <c r="I764" s="98">
        <f>I765+I779+I770+I776+I782</f>
        <v>0</v>
      </c>
    </row>
    <row r="765" spans="1:9" s="32" customFormat="1" ht="18.75" customHeight="1">
      <c r="A765" s="112" t="s">
        <v>138</v>
      </c>
      <c r="B765" s="137"/>
      <c r="C765" s="174" t="s">
        <v>180</v>
      </c>
      <c r="D765" s="174" t="s">
        <v>146</v>
      </c>
      <c r="E765" s="200" t="s">
        <v>79</v>
      </c>
      <c r="F765" s="225"/>
      <c r="G765" s="99">
        <f>G766+G768</f>
        <v>10907.8</v>
      </c>
      <c r="H765" s="99">
        <f>H766+H768</f>
        <v>10907.8</v>
      </c>
      <c r="I765" s="99">
        <f>I766+I768</f>
        <v>0</v>
      </c>
    </row>
    <row r="766" spans="1:9" s="32" customFormat="1" ht="25.5">
      <c r="A766" s="110" t="s">
        <v>139</v>
      </c>
      <c r="B766" s="137"/>
      <c r="C766" s="174" t="s">
        <v>180</v>
      </c>
      <c r="D766" s="174" t="s">
        <v>146</v>
      </c>
      <c r="E766" s="200" t="s">
        <v>79</v>
      </c>
      <c r="F766" s="202" t="s">
        <v>228</v>
      </c>
      <c r="G766" s="99">
        <f>G767</f>
        <v>10183.8</v>
      </c>
      <c r="H766" s="99">
        <f>H767</f>
        <v>10238.8</v>
      </c>
      <c r="I766" s="99">
        <f>I767</f>
        <v>-55</v>
      </c>
    </row>
    <row r="767" spans="1:9" s="32" customFormat="1" ht="15.75">
      <c r="A767" s="171" t="s">
        <v>223</v>
      </c>
      <c r="B767" s="137"/>
      <c r="C767" s="174" t="s">
        <v>180</v>
      </c>
      <c r="D767" s="174" t="s">
        <v>146</v>
      </c>
      <c r="E767" s="200" t="s">
        <v>79</v>
      </c>
      <c r="F767" s="202" t="s">
        <v>224</v>
      </c>
      <c r="G767" s="74">
        <v>10183.8</v>
      </c>
      <c r="H767" s="74">
        <v>10238.8</v>
      </c>
      <c r="I767" s="74">
        <f>G767-H767</f>
        <v>-55</v>
      </c>
    </row>
    <row r="768" spans="1:9" s="32" customFormat="1" ht="15.75">
      <c r="A768" s="110" t="s">
        <v>264</v>
      </c>
      <c r="B768" s="113"/>
      <c r="C768" s="174" t="s">
        <v>180</v>
      </c>
      <c r="D768" s="174" t="s">
        <v>146</v>
      </c>
      <c r="E768" s="200" t="s">
        <v>79</v>
      </c>
      <c r="F768" s="202" t="s">
        <v>216</v>
      </c>
      <c r="G768" s="74">
        <f>G769</f>
        <v>724</v>
      </c>
      <c r="H768" s="74">
        <f>H769</f>
        <v>669</v>
      </c>
      <c r="I768" s="74">
        <f>I769</f>
        <v>55</v>
      </c>
    </row>
    <row r="769" spans="1:9" ht="15.75">
      <c r="A769" s="136" t="s">
        <v>217</v>
      </c>
      <c r="B769" s="113"/>
      <c r="C769" s="174" t="s">
        <v>180</v>
      </c>
      <c r="D769" s="174" t="s">
        <v>146</v>
      </c>
      <c r="E769" s="200" t="s">
        <v>79</v>
      </c>
      <c r="F769" s="202" t="s">
        <v>215</v>
      </c>
      <c r="G769" s="74">
        <v>724</v>
      </c>
      <c r="H769" s="74">
        <v>669</v>
      </c>
      <c r="I769" s="74">
        <f>G769-H769</f>
        <v>55</v>
      </c>
    </row>
    <row r="770" spans="1:9" ht="20.25" customHeight="1">
      <c r="A770" s="112" t="s">
        <v>109</v>
      </c>
      <c r="B770" s="137"/>
      <c r="C770" s="174" t="s">
        <v>180</v>
      </c>
      <c r="D770" s="174" t="s">
        <v>146</v>
      </c>
      <c r="E770" s="200" t="s">
        <v>256</v>
      </c>
      <c r="F770" s="225"/>
      <c r="G770" s="99">
        <f>G771+G773</f>
        <v>2419.115</v>
      </c>
      <c r="H770" s="99">
        <f>H771+H773</f>
        <v>2419.115</v>
      </c>
      <c r="I770" s="99">
        <f>I771+I773</f>
        <v>0</v>
      </c>
    </row>
    <row r="771" spans="1:9" s="32" customFormat="1" ht="15.75">
      <c r="A771" s="110" t="s">
        <v>264</v>
      </c>
      <c r="B771" s="113"/>
      <c r="C771" s="174" t="s">
        <v>180</v>
      </c>
      <c r="D771" s="174" t="s">
        <v>146</v>
      </c>
      <c r="E771" s="200" t="s">
        <v>256</v>
      </c>
      <c r="F771" s="202" t="s">
        <v>216</v>
      </c>
      <c r="G771" s="74">
        <f>G772</f>
        <v>2399.7</v>
      </c>
      <c r="H771" s="74">
        <f>H772</f>
        <v>2399.7</v>
      </c>
      <c r="I771" s="74">
        <f>I772</f>
        <v>0</v>
      </c>
    </row>
    <row r="772" spans="1:9" s="32" customFormat="1" ht="15.75">
      <c r="A772" s="136" t="s">
        <v>217</v>
      </c>
      <c r="B772" s="113"/>
      <c r="C772" s="174" t="s">
        <v>180</v>
      </c>
      <c r="D772" s="237" t="s">
        <v>146</v>
      </c>
      <c r="E772" s="238" t="s">
        <v>256</v>
      </c>
      <c r="F772" s="239" t="s">
        <v>215</v>
      </c>
      <c r="G772" s="101">
        <v>2399.7</v>
      </c>
      <c r="H772" s="101">
        <v>2399.7</v>
      </c>
      <c r="I772" s="74">
        <f>G772-H772</f>
        <v>0</v>
      </c>
    </row>
    <row r="773" spans="1:9" s="32" customFormat="1" ht="15.75">
      <c r="A773" s="110" t="s">
        <v>107</v>
      </c>
      <c r="B773" s="113"/>
      <c r="C773" s="174" t="s">
        <v>180</v>
      </c>
      <c r="D773" s="174" t="s">
        <v>146</v>
      </c>
      <c r="E773" s="200" t="s">
        <v>256</v>
      </c>
      <c r="F773" s="202" t="s">
        <v>100</v>
      </c>
      <c r="G773" s="74">
        <f>G775+G774</f>
        <v>19.415</v>
      </c>
      <c r="H773" s="74">
        <f>H775+H774</f>
        <v>19.415</v>
      </c>
      <c r="I773" s="74">
        <f>I775+I774</f>
        <v>0</v>
      </c>
    </row>
    <row r="774" spans="1:9" s="32" customFormat="1" ht="15.75">
      <c r="A774" s="110" t="s">
        <v>351</v>
      </c>
      <c r="B774" s="113"/>
      <c r="C774" s="174" t="s">
        <v>180</v>
      </c>
      <c r="D774" s="237" t="s">
        <v>146</v>
      </c>
      <c r="E774" s="238" t="s">
        <v>256</v>
      </c>
      <c r="F774" s="239" t="s">
        <v>607</v>
      </c>
      <c r="G774" s="101">
        <v>7.7</v>
      </c>
      <c r="H774" s="101">
        <v>7.7</v>
      </c>
      <c r="I774" s="74">
        <f>G774-H774</f>
        <v>0</v>
      </c>
    </row>
    <row r="775" spans="1:9" s="32" customFormat="1" ht="15.75">
      <c r="A775" s="110" t="s">
        <v>242</v>
      </c>
      <c r="B775" s="113"/>
      <c r="C775" s="174" t="s">
        <v>180</v>
      </c>
      <c r="D775" s="237" t="s">
        <v>146</v>
      </c>
      <c r="E775" s="238" t="s">
        <v>256</v>
      </c>
      <c r="F775" s="239" t="s">
        <v>243</v>
      </c>
      <c r="G775" s="101">
        <v>11.715</v>
      </c>
      <c r="H775" s="101">
        <v>11.715</v>
      </c>
      <c r="I775" s="74">
        <f>G775-H775</f>
        <v>0</v>
      </c>
    </row>
    <row r="776" spans="1:9" s="32" customFormat="1" ht="15.75">
      <c r="A776" s="112" t="s">
        <v>288</v>
      </c>
      <c r="B776" s="190"/>
      <c r="C776" s="174" t="s">
        <v>180</v>
      </c>
      <c r="D776" s="237" t="s">
        <v>146</v>
      </c>
      <c r="E776" s="240" t="s">
        <v>313</v>
      </c>
      <c r="F776" s="241"/>
      <c r="G776" s="101">
        <f aca="true" t="shared" si="140" ref="G776:I777">G777</f>
        <v>570</v>
      </c>
      <c r="H776" s="101">
        <f t="shared" si="140"/>
        <v>570</v>
      </c>
      <c r="I776" s="101">
        <f t="shared" si="140"/>
        <v>0</v>
      </c>
    </row>
    <row r="777" spans="1:9" s="32" customFormat="1" ht="15.75">
      <c r="A777" s="184" t="s">
        <v>264</v>
      </c>
      <c r="B777" s="113"/>
      <c r="C777" s="174" t="s">
        <v>180</v>
      </c>
      <c r="D777" s="174" t="s">
        <v>146</v>
      </c>
      <c r="E777" s="200" t="s">
        <v>313</v>
      </c>
      <c r="F777" s="242" t="s">
        <v>216</v>
      </c>
      <c r="G777" s="74">
        <f t="shared" si="140"/>
        <v>570</v>
      </c>
      <c r="H777" s="74">
        <f t="shared" si="140"/>
        <v>570</v>
      </c>
      <c r="I777" s="74">
        <f t="shared" si="140"/>
        <v>0</v>
      </c>
    </row>
    <row r="778" spans="1:9" s="32" customFormat="1" ht="19.5" customHeight="1">
      <c r="A778" s="136" t="s">
        <v>217</v>
      </c>
      <c r="B778" s="113"/>
      <c r="C778" s="174" t="s">
        <v>180</v>
      </c>
      <c r="D778" s="174" t="s">
        <v>146</v>
      </c>
      <c r="E778" s="200" t="s">
        <v>313</v>
      </c>
      <c r="F778" s="202" t="s">
        <v>215</v>
      </c>
      <c r="G778" s="74">
        <f>390+180</f>
        <v>570</v>
      </c>
      <c r="H778" s="74">
        <f>390+180</f>
        <v>570</v>
      </c>
      <c r="I778" s="74">
        <f>G778-H778</f>
        <v>0</v>
      </c>
    </row>
    <row r="779" spans="1:9" s="32" customFormat="1" ht="15.75">
      <c r="A779" s="112" t="s">
        <v>131</v>
      </c>
      <c r="B779" s="137"/>
      <c r="C779" s="174" t="s">
        <v>180</v>
      </c>
      <c r="D779" s="174" t="s">
        <v>146</v>
      </c>
      <c r="E779" s="243" t="s">
        <v>23</v>
      </c>
      <c r="F779" s="225"/>
      <c r="G779" s="99">
        <f aca="true" t="shared" si="141" ref="G779:I780">G780</f>
        <v>192</v>
      </c>
      <c r="H779" s="99">
        <f t="shared" si="141"/>
        <v>192</v>
      </c>
      <c r="I779" s="99">
        <f t="shared" si="141"/>
        <v>0</v>
      </c>
    </row>
    <row r="780" spans="1:9" s="32" customFormat="1" ht="15.75">
      <c r="A780" s="110" t="s">
        <v>264</v>
      </c>
      <c r="B780" s="113"/>
      <c r="C780" s="174" t="s">
        <v>180</v>
      </c>
      <c r="D780" s="174" t="s">
        <v>146</v>
      </c>
      <c r="E780" s="200" t="s">
        <v>23</v>
      </c>
      <c r="F780" s="202" t="s">
        <v>216</v>
      </c>
      <c r="G780" s="74">
        <f t="shared" si="141"/>
        <v>192</v>
      </c>
      <c r="H780" s="74">
        <f t="shared" si="141"/>
        <v>192</v>
      </c>
      <c r="I780" s="74">
        <f t="shared" si="141"/>
        <v>0</v>
      </c>
    </row>
    <row r="781" spans="1:9" s="32" customFormat="1" ht="16.5" customHeight="1">
      <c r="A781" s="136" t="s">
        <v>217</v>
      </c>
      <c r="B781" s="113"/>
      <c r="C781" s="174" t="s">
        <v>180</v>
      </c>
      <c r="D781" s="174" t="s">
        <v>146</v>
      </c>
      <c r="E781" s="200" t="s">
        <v>23</v>
      </c>
      <c r="F781" s="202" t="s">
        <v>215</v>
      </c>
      <c r="G781" s="74">
        <f>230-38</f>
        <v>192</v>
      </c>
      <c r="H781" s="74">
        <f>230-38</f>
        <v>192</v>
      </c>
      <c r="I781" s="74">
        <f>G781-H781</f>
        <v>0</v>
      </c>
    </row>
    <row r="782" spans="1:9" s="32" customFormat="1" ht="15.75">
      <c r="A782" s="112" t="s">
        <v>551</v>
      </c>
      <c r="B782" s="137"/>
      <c r="C782" s="174" t="s">
        <v>180</v>
      </c>
      <c r="D782" s="174" t="s">
        <v>146</v>
      </c>
      <c r="E782" s="243" t="s">
        <v>550</v>
      </c>
      <c r="F782" s="225"/>
      <c r="G782" s="99">
        <f aca="true" t="shared" si="142" ref="G782:I783">G783</f>
        <v>2356</v>
      </c>
      <c r="H782" s="99">
        <f t="shared" si="142"/>
        <v>2356</v>
      </c>
      <c r="I782" s="99">
        <f t="shared" si="142"/>
        <v>0</v>
      </c>
    </row>
    <row r="783" spans="1:9" s="32" customFormat="1" ht="15.75">
      <c r="A783" s="110" t="s">
        <v>264</v>
      </c>
      <c r="B783" s="113"/>
      <c r="C783" s="174" t="s">
        <v>180</v>
      </c>
      <c r="D783" s="174" t="s">
        <v>146</v>
      </c>
      <c r="E783" s="243" t="s">
        <v>550</v>
      </c>
      <c r="F783" s="202" t="s">
        <v>216</v>
      </c>
      <c r="G783" s="74">
        <f t="shared" si="142"/>
        <v>2356</v>
      </c>
      <c r="H783" s="74">
        <f t="shared" si="142"/>
        <v>2356</v>
      </c>
      <c r="I783" s="74">
        <f t="shared" si="142"/>
        <v>0</v>
      </c>
    </row>
    <row r="784" spans="1:9" s="32" customFormat="1" ht="16.5" customHeight="1">
      <c r="A784" s="136" t="s">
        <v>217</v>
      </c>
      <c r="B784" s="113"/>
      <c r="C784" s="174" t="s">
        <v>180</v>
      </c>
      <c r="D784" s="174" t="s">
        <v>146</v>
      </c>
      <c r="E784" s="243" t="s">
        <v>550</v>
      </c>
      <c r="F784" s="202" t="s">
        <v>215</v>
      </c>
      <c r="G784" s="74">
        <v>2356</v>
      </c>
      <c r="H784" s="74">
        <v>2356</v>
      </c>
      <c r="I784" s="74">
        <f>G784-H784</f>
        <v>0</v>
      </c>
    </row>
    <row r="785" spans="1:9" s="36" customFormat="1" ht="15.75">
      <c r="A785" s="106" t="s">
        <v>195</v>
      </c>
      <c r="B785" s="111"/>
      <c r="C785" s="173" t="s">
        <v>196</v>
      </c>
      <c r="D785" s="174"/>
      <c r="E785" s="200"/>
      <c r="F785" s="202"/>
      <c r="G785" s="78">
        <f>G794+G786</f>
        <v>1023.2</v>
      </c>
      <c r="H785" s="78">
        <f>H794+H786</f>
        <v>1023.2</v>
      </c>
      <c r="I785" s="78">
        <f>I794+I786</f>
        <v>0</v>
      </c>
    </row>
    <row r="786" spans="1:9" s="36" customFormat="1" ht="15.75">
      <c r="A786" s="106" t="s">
        <v>176</v>
      </c>
      <c r="B786" s="107"/>
      <c r="C786" s="173" t="s">
        <v>196</v>
      </c>
      <c r="D786" s="173" t="s">
        <v>198</v>
      </c>
      <c r="E786" s="200"/>
      <c r="F786" s="202"/>
      <c r="G786" s="78">
        <f>G787+G791</f>
        <v>155.2</v>
      </c>
      <c r="H786" s="78">
        <f>H787+H791</f>
        <v>155.2</v>
      </c>
      <c r="I786" s="362">
        <f>I787+I791</f>
        <v>0</v>
      </c>
    </row>
    <row r="787" spans="1:9" s="32" customFormat="1" ht="15.75">
      <c r="A787" s="106" t="s">
        <v>410</v>
      </c>
      <c r="B787" s="107"/>
      <c r="C787" s="173" t="s">
        <v>196</v>
      </c>
      <c r="D787" s="173" t="s">
        <v>198</v>
      </c>
      <c r="E787" s="201" t="s">
        <v>4</v>
      </c>
      <c r="F787" s="202"/>
      <c r="G787" s="78">
        <f aca="true" t="shared" si="143" ref="G787:H792">G788</f>
        <v>5</v>
      </c>
      <c r="H787" s="78">
        <f t="shared" si="143"/>
        <v>5</v>
      </c>
      <c r="I787" s="78">
        <f>I788</f>
        <v>0</v>
      </c>
    </row>
    <row r="788" spans="1:9" s="36" customFormat="1" ht="15.75">
      <c r="A788" s="112" t="s">
        <v>119</v>
      </c>
      <c r="B788" s="111"/>
      <c r="C788" s="174" t="s">
        <v>196</v>
      </c>
      <c r="D788" s="174" t="s">
        <v>198</v>
      </c>
      <c r="E788" s="200" t="s">
        <v>5</v>
      </c>
      <c r="F788" s="202"/>
      <c r="G788" s="74">
        <f t="shared" si="143"/>
        <v>5</v>
      </c>
      <c r="H788" s="74">
        <f t="shared" si="143"/>
        <v>5</v>
      </c>
      <c r="I788" s="74">
        <f>I789</f>
        <v>0</v>
      </c>
    </row>
    <row r="789" spans="1:9" s="36" customFormat="1" ht="15.75">
      <c r="A789" s="112" t="s">
        <v>107</v>
      </c>
      <c r="B789" s="111"/>
      <c r="C789" s="174" t="s">
        <v>196</v>
      </c>
      <c r="D789" s="174" t="s">
        <v>198</v>
      </c>
      <c r="E789" s="200" t="s">
        <v>5</v>
      </c>
      <c r="F789" s="202" t="s">
        <v>100</v>
      </c>
      <c r="G789" s="74">
        <f t="shared" si="143"/>
        <v>5</v>
      </c>
      <c r="H789" s="74">
        <f t="shared" si="143"/>
        <v>5</v>
      </c>
      <c r="I789" s="74">
        <f>I790</f>
        <v>0</v>
      </c>
    </row>
    <row r="790" spans="1:9" s="36" customFormat="1" ht="25.5">
      <c r="A790" s="112" t="s">
        <v>266</v>
      </c>
      <c r="B790" s="111"/>
      <c r="C790" s="174" t="s">
        <v>196</v>
      </c>
      <c r="D790" s="174" t="s">
        <v>198</v>
      </c>
      <c r="E790" s="200" t="s">
        <v>5</v>
      </c>
      <c r="F790" s="202" t="s">
        <v>101</v>
      </c>
      <c r="G790" s="74">
        <v>5</v>
      </c>
      <c r="H790" s="74">
        <v>5</v>
      </c>
      <c r="I790" s="74">
        <f>G790-H790</f>
        <v>0</v>
      </c>
    </row>
    <row r="791" spans="1:9" s="36" customFormat="1" ht="15.75">
      <c r="A791" s="112" t="s">
        <v>660</v>
      </c>
      <c r="B791" s="111"/>
      <c r="C791" s="174" t="s">
        <v>196</v>
      </c>
      <c r="D791" s="174" t="s">
        <v>198</v>
      </c>
      <c r="E791" s="200" t="s">
        <v>661</v>
      </c>
      <c r="F791" s="202"/>
      <c r="G791" s="74">
        <f t="shared" si="143"/>
        <v>150.2</v>
      </c>
      <c r="H791" s="74">
        <f t="shared" si="143"/>
        <v>150.2</v>
      </c>
      <c r="I791" s="74">
        <f>I792</f>
        <v>0</v>
      </c>
    </row>
    <row r="792" spans="1:9" s="36" customFormat="1" ht="15.75">
      <c r="A792" s="184" t="s">
        <v>264</v>
      </c>
      <c r="B792" s="111"/>
      <c r="C792" s="174" t="s">
        <v>196</v>
      </c>
      <c r="D792" s="174" t="s">
        <v>198</v>
      </c>
      <c r="E792" s="200" t="s">
        <v>661</v>
      </c>
      <c r="F792" s="202" t="s">
        <v>216</v>
      </c>
      <c r="G792" s="74">
        <f t="shared" si="143"/>
        <v>150.2</v>
      </c>
      <c r="H792" s="74">
        <f t="shared" si="143"/>
        <v>150.2</v>
      </c>
      <c r="I792" s="74">
        <f>I793</f>
        <v>0</v>
      </c>
    </row>
    <row r="793" spans="1:9" s="36" customFormat="1" ht="15.75">
      <c r="A793" s="136" t="s">
        <v>217</v>
      </c>
      <c r="B793" s="111"/>
      <c r="C793" s="174" t="s">
        <v>196</v>
      </c>
      <c r="D793" s="174" t="s">
        <v>198</v>
      </c>
      <c r="E793" s="200" t="s">
        <v>661</v>
      </c>
      <c r="F793" s="202" t="s">
        <v>215</v>
      </c>
      <c r="G793" s="74">
        <v>150.2</v>
      </c>
      <c r="H793" s="74">
        <v>150.2</v>
      </c>
      <c r="I793" s="74">
        <f>G793-H793</f>
        <v>0</v>
      </c>
    </row>
    <row r="794" spans="1:9" s="36" customFormat="1" ht="15.75">
      <c r="A794" s="125" t="s">
        <v>159</v>
      </c>
      <c r="B794" s="107"/>
      <c r="C794" s="173" t="s">
        <v>196</v>
      </c>
      <c r="D794" s="173" t="s">
        <v>188</v>
      </c>
      <c r="E794" s="200"/>
      <c r="F794" s="225"/>
      <c r="G794" s="78">
        <f aca="true" t="shared" si="144" ref="G794:I795">G795</f>
        <v>868</v>
      </c>
      <c r="H794" s="78">
        <f t="shared" si="144"/>
        <v>868</v>
      </c>
      <c r="I794" s="78">
        <f t="shared" si="144"/>
        <v>0</v>
      </c>
    </row>
    <row r="795" spans="1:9" s="36" customFormat="1" ht="15.75">
      <c r="A795" s="125" t="s">
        <v>408</v>
      </c>
      <c r="B795" s="137"/>
      <c r="C795" s="173" t="s">
        <v>196</v>
      </c>
      <c r="D795" s="173" t="s">
        <v>188</v>
      </c>
      <c r="E795" s="201" t="s">
        <v>22</v>
      </c>
      <c r="F795" s="224"/>
      <c r="G795" s="98">
        <f t="shared" si="144"/>
        <v>868</v>
      </c>
      <c r="H795" s="98">
        <f t="shared" si="144"/>
        <v>868</v>
      </c>
      <c r="I795" s="98">
        <f t="shared" si="144"/>
        <v>0</v>
      </c>
    </row>
    <row r="796" spans="1:9" s="36" customFormat="1" ht="15.75">
      <c r="A796" s="112" t="s">
        <v>132</v>
      </c>
      <c r="B796" s="111"/>
      <c r="C796" s="174" t="s">
        <v>196</v>
      </c>
      <c r="D796" s="174" t="s">
        <v>188</v>
      </c>
      <c r="E796" s="200" t="s">
        <v>24</v>
      </c>
      <c r="F796" s="202"/>
      <c r="G796" s="74">
        <f>G797+G799</f>
        <v>868</v>
      </c>
      <c r="H796" s="74">
        <f>H797+H799</f>
        <v>868</v>
      </c>
      <c r="I796" s="74">
        <f>I797+I799</f>
        <v>0</v>
      </c>
    </row>
    <row r="797" spans="1:9" s="36" customFormat="1" ht="15.75">
      <c r="A797" s="110" t="s">
        <v>264</v>
      </c>
      <c r="B797" s="113"/>
      <c r="C797" s="174" t="s">
        <v>196</v>
      </c>
      <c r="D797" s="174" t="s">
        <v>188</v>
      </c>
      <c r="E797" s="200" t="s">
        <v>24</v>
      </c>
      <c r="F797" s="202" t="s">
        <v>216</v>
      </c>
      <c r="G797" s="74">
        <f aca="true" t="shared" si="145" ref="G797:H799">G798</f>
        <v>844.9</v>
      </c>
      <c r="H797" s="74">
        <f t="shared" si="145"/>
        <v>844.9</v>
      </c>
      <c r="I797" s="74">
        <f>I798</f>
        <v>0</v>
      </c>
    </row>
    <row r="798" spans="1:9" s="32" customFormat="1" ht="15.75">
      <c r="A798" s="136" t="s">
        <v>217</v>
      </c>
      <c r="B798" s="113"/>
      <c r="C798" s="174" t="s">
        <v>196</v>
      </c>
      <c r="D798" s="174" t="s">
        <v>188</v>
      </c>
      <c r="E798" s="200" t="s">
        <v>24</v>
      </c>
      <c r="F798" s="202" t="s">
        <v>215</v>
      </c>
      <c r="G798" s="74">
        <v>844.9</v>
      </c>
      <c r="H798" s="74">
        <v>844.9</v>
      </c>
      <c r="I798" s="74">
        <f>G798-H798</f>
        <v>0</v>
      </c>
    </row>
    <row r="799" spans="1:9" s="36" customFormat="1" ht="15.75">
      <c r="A799" s="110" t="s">
        <v>107</v>
      </c>
      <c r="B799" s="113"/>
      <c r="C799" s="174" t="s">
        <v>196</v>
      </c>
      <c r="D799" s="174" t="s">
        <v>188</v>
      </c>
      <c r="E799" s="200" t="s">
        <v>24</v>
      </c>
      <c r="F799" s="202" t="s">
        <v>100</v>
      </c>
      <c r="G799" s="74">
        <f t="shared" si="145"/>
        <v>23.1</v>
      </c>
      <c r="H799" s="74">
        <f t="shared" si="145"/>
        <v>23.1</v>
      </c>
      <c r="I799" s="74">
        <f>I800</f>
        <v>0</v>
      </c>
    </row>
    <row r="800" spans="1:9" s="32" customFormat="1" ht="15.75">
      <c r="A800" s="136" t="s">
        <v>351</v>
      </c>
      <c r="B800" s="113"/>
      <c r="C800" s="174" t="s">
        <v>196</v>
      </c>
      <c r="D800" s="174" t="s">
        <v>188</v>
      </c>
      <c r="E800" s="200" t="s">
        <v>24</v>
      </c>
      <c r="F800" s="202" t="s">
        <v>607</v>
      </c>
      <c r="G800" s="74">
        <v>23.1</v>
      </c>
      <c r="H800" s="74">
        <v>23.1</v>
      </c>
      <c r="I800" s="74">
        <f>G800-H800</f>
        <v>0</v>
      </c>
    </row>
    <row r="801" spans="1:9" s="32" customFormat="1" ht="15.75">
      <c r="A801" s="106" t="s">
        <v>167</v>
      </c>
      <c r="B801" s="111"/>
      <c r="C801" s="173" t="s">
        <v>198</v>
      </c>
      <c r="D801" s="173"/>
      <c r="E801" s="214" t="s">
        <v>201</v>
      </c>
      <c r="F801" s="215" t="s">
        <v>201</v>
      </c>
      <c r="G801" s="78">
        <f aca="true" t="shared" si="146" ref="G801:H805">G802</f>
        <v>1842.52</v>
      </c>
      <c r="H801" s="78">
        <f t="shared" si="146"/>
        <v>1842.52</v>
      </c>
      <c r="I801" s="78">
        <f>I802</f>
        <v>0</v>
      </c>
    </row>
    <row r="802" spans="1:9" s="32" customFormat="1" ht="16.5" customHeight="1">
      <c r="A802" s="134" t="s">
        <v>241</v>
      </c>
      <c r="B802" s="107"/>
      <c r="C802" s="173" t="s">
        <v>198</v>
      </c>
      <c r="D802" s="173" t="s">
        <v>180</v>
      </c>
      <c r="E802" s="201"/>
      <c r="F802" s="203"/>
      <c r="G802" s="78">
        <f>G803+G807</f>
        <v>1842.52</v>
      </c>
      <c r="H802" s="78">
        <f>H803+H807</f>
        <v>1842.52</v>
      </c>
      <c r="I802" s="78">
        <f>I803+I807</f>
        <v>0</v>
      </c>
    </row>
    <row r="803" spans="1:9" s="32" customFormat="1" ht="17.25" customHeight="1">
      <c r="A803" s="125" t="s">
        <v>408</v>
      </c>
      <c r="B803" s="115"/>
      <c r="C803" s="173" t="s">
        <v>198</v>
      </c>
      <c r="D803" s="173" t="s">
        <v>180</v>
      </c>
      <c r="E803" s="201" t="s">
        <v>22</v>
      </c>
      <c r="F803" s="203"/>
      <c r="G803" s="78">
        <f>G804</f>
        <v>1558.2</v>
      </c>
      <c r="H803" s="78">
        <f>H804</f>
        <v>1558.2</v>
      </c>
      <c r="I803" s="78">
        <f>I804</f>
        <v>0</v>
      </c>
    </row>
    <row r="804" spans="1:9" s="32" customFormat="1" ht="15.75">
      <c r="A804" s="108" t="s">
        <v>3</v>
      </c>
      <c r="B804" s="113"/>
      <c r="C804" s="174" t="s">
        <v>198</v>
      </c>
      <c r="D804" s="174" t="s">
        <v>180</v>
      </c>
      <c r="E804" s="200" t="s">
        <v>10</v>
      </c>
      <c r="F804" s="202"/>
      <c r="G804" s="74">
        <f t="shared" si="146"/>
        <v>1558.2</v>
      </c>
      <c r="H804" s="74">
        <f t="shared" si="146"/>
        <v>1558.2</v>
      </c>
      <c r="I804" s="74">
        <f>I805</f>
        <v>0</v>
      </c>
    </row>
    <row r="805" spans="1:9" s="32" customFormat="1" ht="15.75">
      <c r="A805" s="110" t="s">
        <v>264</v>
      </c>
      <c r="B805" s="113"/>
      <c r="C805" s="174" t="s">
        <v>198</v>
      </c>
      <c r="D805" s="174" t="s">
        <v>180</v>
      </c>
      <c r="E805" s="200" t="s">
        <v>10</v>
      </c>
      <c r="F805" s="202" t="s">
        <v>216</v>
      </c>
      <c r="G805" s="74">
        <f t="shared" si="146"/>
        <v>1558.2</v>
      </c>
      <c r="H805" s="74">
        <f t="shared" si="146"/>
        <v>1558.2</v>
      </c>
      <c r="I805" s="74">
        <f>I806</f>
        <v>0</v>
      </c>
    </row>
    <row r="806" spans="1:9" s="32" customFormat="1" ht="15.75">
      <c r="A806" s="136" t="s">
        <v>217</v>
      </c>
      <c r="B806" s="113"/>
      <c r="C806" s="174" t="s">
        <v>198</v>
      </c>
      <c r="D806" s="174" t="s">
        <v>180</v>
      </c>
      <c r="E806" s="200" t="s">
        <v>10</v>
      </c>
      <c r="F806" s="202" t="s">
        <v>215</v>
      </c>
      <c r="G806" s="74">
        <v>1558.2</v>
      </c>
      <c r="H806" s="74">
        <v>1558.2</v>
      </c>
      <c r="I806" s="74">
        <f>G806-H806</f>
        <v>0</v>
      </c>
    </row>
    <row r="807" spans="1:9" s="13" customFormat="1" ht="15.75">
      <c r="A807" s="134" t="s">
        <v>402</v>
      </c>
      <c r="B807" s="191"/>
      <c r="C807" s="173" t="s">
        <v>198</v>
      </c>
      <c r="D807" s="173" t="s">
        <v>180</v>
      </c>
      <c r="E807" s="201" t="s">
        <v>403</v>
      </c>
      <c r="F807" s="203"/>
      <c r="G807" s="78">
        <f>G808+G811+G814</f>
        <v>284.32</v>
      </c>
      <c r="H807" s="78">
        <f>H808+H811+H814</f>
        <v>284.32</v>
      </c>
      <c r="I807" s="78">
        <f>I808+I811+I814</f>
        <v>0</v>
      </c>
    </row>
    <row r="808" spans="1:9" s="13" customFormat="1" ht="38.25">
      <c r="A808" s="144" t="s">
        <v>406</v>
      </c>
      <c r="B808" s="191"/>
      <c r="C808" s="174" t="s">
        <v>198</v>
      </c>
      <c r="D808" s="174" t="s">
        <v>180</v>
      </c>
      <c r="E808" s="200" t="s">
        <v>404</v>
      </c>
      <c r="F808" s="203"/>
      <c r="G808" s="74">
        <f aca="true" t="shared" si="147" ref="G808:I809">G809</f>
        <v>278.32</v>
      </c>
      <c r="H808" s="74">
        <f t="shared" si="147"/>
        <v>278.32</v>
      </c>
      <c r="I808" s="74">
        <f t="shared" si="147"/>
        <v>0</v>
      </c>
    </row>
    <row r="809" spans="1:9" s="13" customFormat="1" ht="15.75">
      <c r="A809" s="112" t="s">
        <v>107</v>
      </c>
      <c r="B809" s="192"/>
      <c r="C809" s="174" t="s">
        <v>198</v>
      </c>
      <c r="D809" s="174" t="s">
        <v>180</v>
      </c>
      <c r="E809" s="200" t="s">
        <v>404</v>
      </c>
      <c r="F809" s="202" t="s">
        <v>100</v>
      </c>
      <c r="G809" s="74">
        <f t="shared" si="147"/>
        <v>278.32</v>
      </c>
      <c r="H809" s="74">
        <f t="shared" si="147"/>
        <v>278.32</v>
      </c>
      <c r="I809" s="74">
        <f t="shared" si="147"/>
        <v>0</v>
      </c>
    </row>
    <row r="810" spans="1:9" s="13" customFormat="1" ht="15.75">
      <c r="A810" s="187" t="s">
        <v>242</v>
      </c>
      <c r="B810" s="192"/>
      <c r="C810" s="174" t="s">
        <v>198</v>
      </c>
      <c r="D810" s="174" t="s">
        <v>180</v>
      </c>
      <c r="E810" s="200" t="s">
        <v>404</v>
      </c>
      <c r="F810" s="202" t="s">
        <v>243</v>
      </c>
      <c r="G810" s="102">
        <v>278.32</v>
      </c>
      <c r="H810" s="102">
        <v>278.32</v>
      </c>
      <c r="I810" s="74">
        <f>G810-H810</f>
        <v>0</v>
      </c>
    </row>
    <row r="811" spans="1:9" s="13" customFormat="1" ht="38.25">
      <c r="A811" s="144" t="s">
        <v>407</v>
      </c>
      <c r="B811" s="191"/>
      <c r="C811" s="174" t="s">
        <v>198</v>
      </c>
      <c r="D811" s="174" t="s">
        <v>180</v>
      </c>
      <c r="E811" s="200" t="s">
        <v>405</v>
      </c>
      <c r="F811" s="203"/>
      <c r="G811" s="74">
        <f aca="true" t="shared" si="148" ref="G811:H815">G812</f>
        <v>5.4</v>
      </c>
      <c r="H811" s="74">
        <f t="shared" si="148"/>
        <v>5.4</v>
      </c>
      <c r="I811" s="74">
        <f>I812</f>
        <v>0</v>
      </c>
    </row>
    <row r="812" spans="1:9" s="13" customFormat="1" ht="15.75">
      <c r="A812" s="112" t="s">
        <v>107</v>
      </c>
      <c r="B812" s="192"/>
      <c r="C812" s="174" t="s">
        <v>198</v>
      </c>
      <c r="D812" s="174" t="s">
        <v>180</v>
      </c>
      <c r="E812" s="200" t="s">
        <v>405</v>
      </c>
      <c r="F812" s="202" t="s">
        <v>100</v>
      </c>
      <c r="G812" s="74">
        <f t="shared" si="148"/>
        <v>5.4</v>
      </c>
      <c r="H812" s="74">
        <f t="shared" si="148"/>
        <v>5.4</v>
      </c>
      <c r="I812" s="74">
        <f>I813</f>
        <v>0</v>
      </c>
    </row>
    <row r="813" spans="1:9" s="13" customFormat="1" ht="15.75">
      <c r="A813" s="187" t="s">
        <v>242</v>
      </c>
      <c r="B813" s="192"/>
      <c r="C813" s="174" t="s">
        <v>198</v>
      </c>
      <c r="D813" s="174" t="s">
        <v>180</v>
      </c>
      <c r="E813" s="200" t="s">
        <v>405</v>
      </c>
      <c r="F813" s="202" t="s">
        <v>243</v>
      </c>
      <c r="G813" s="102">
        <v>5.4</v>
      </c>
      <c r="H813" s="102">
        <v>5.4</v>
      </c>
      <c r="I813" s="74">
        <f>G813-H813</f>
        <v>0</v>
      </c>
    </row>
    <row r="814" spans="1:9" s="13" customFormat="1" ht="38.25">
      <c r="A814" s="144" t="s">
        <v>640</v>
      </c>
      <c r="B814" s="191"/>
      <c r="C814" s="174" t="s">
        <v>198</v>
      </c>
      <c r="D814" s="174" t="s">
        <v>180</v>
      </c>
      <c r="E814" s="200" t="s">
        <v>639</v>
      </c>
      <c r="F814" s="203"/>
      <c r="G814" s="74">
        <f t="shared" si="148"/>
        <v>0.6</v>
      </c>
      <c r="H814" s="74">
        <f t="shared" si="148"/>
        <v>0.6</v>
      </c>
      <c r="I814" s="74">
        <f>I815</f>
        <v>0</v>
      </c>
    </row>
    <row r="815" spans="1:9" s="13" customFormat="1" ht="15.75">
      <c r="A815" s="112" t="s">
        <v>107</v>
      </c>
      <c r="B815" s="192"/>
      <c r="C815" s="174" t="s">
        <v>198</v>
      </c>
      <c r="D815" s="174" t="s">
        <v>180</v>
      </c>
      <c r="E815" s="200" t="s">
        <v>639</v>
      </c>
      <c r="F815" s="202" t="s">
        <v>100</v>
      </c>
      <c r="G815" s="74">
        <f t="shared" si="148"/>
        <v>0.6</v>
      </c>
      <c r="H815" s="74">
        <f t="shared" si="148"/>
        <v>0.6</v>
      </c>
      <c r="I815" s="74">
        <f>I816</f>
        <v>0</v>
      </c>
    </row>
    <row r="816" spans="1:9" s="13" customFormat="1" ht="15.75">
      <c r="A816" s="187" t="s">
        <v>242</v>
      </c>
      <c r="B816" s="192"/>
      <c r="C816" s="174" t="s">
        <v>198</v>
      </c>
      <c r="D816" s="174" t="s">
        <v>180</v>
      </c>
      <c r="E816" s="200" t="s">
        <v>639</v>
      </c>
      <c r="F816" s="202" t="s">
        <v>243</v>
      </c>
      <c r="G816" s="102">
        <v>0.6</v>
      </c>
      <c r="H816" s="102">
        <v>0.6</v>
      </c>
      <c r="I816" s="74">
        <f>G816-H816</f>
        <v>0</v>
      </c>
    </row>
    <row r="817" spans="1:9" s="32" customFormat="1" ht="15.75">
      <c r="A817" s="106" t="s">
        <v>178</v>
      </c>
      <c r="B817" s="111"/>
      <c r="C817" s="173" t="s">
        <v>150</v>
      </c>
      <c r="D817" s="173"/>
      <c r="E817" s="214" t="s">
        <v>201</v>
      </c>
      <c r="F817" s="215" t="s">
        <v>201</v>
      </c>
      <c r="G817" s="78">
        <f aca="true" t="shared" si="149" ref="G817:I818">G818</f>
        <v>7222.837</v>
      </c>
      <c r="H817" s="78">
        <f t="shared" si="149"/>
        <v>7222.837</v>
      </c>
      <c r="I817" s="78">
        <f t="shared" si="149"/>
        <v>0</v>
      </c>
    </row>
    <row r="818" spans="1:9" s="32" customFormat="1" ht="16.5" customHeight="1">
      <c r="A818" s="134" t="s">
        <v>182</v>
      </c>
      <c r="B818" s="107"/>
      <c r="C818" s="173" t="s">
        <v>150</v>
      </c>
      <c r="D818" s="173" t="s">
        <v>196</v>
      </c>
      <c r="E818" s="201"/>
      <c r="F818" s="203"/>
      <c r="G818" s="78">
        <f t="shared" si="149"/>
        <v>7222.837</v>
      </c>
      <c r="H818" s="78">
        <f t="shared" si="149"/>
        <v>7222.837</v>
      </c>
      <c r="I818" s="78">
        <f t="shared" si="149"/>
        <v>0</v>
      </c>
    </row>
    <row r="819" spans="1:9" s="32" customFormat="1" ht="17.25" customHeight="1">
      <c r="A819" s="125" t="s">
        <v>408</v>
      </c>
      <c r="B819" s="115"/>
      <c r="C819" s="173" t="s">
        <v>150</v>
      </c>
      <c r="D819" s="173" t="s">
        <v>196</v>
      </c>
      <c r="E819" s="201" t="s">
        <v>22</v>
      </c>
      <c r="F819" s="203"/>
      <c r="G819" s="78">
        <f>G822+G823</f>
        <v>7222.837</v>
      </c>
      <c r="H819" s="78">
        <f>H822+H823</f>
        <v>7222.837</v>
      </c>
      <c r="I819" s="78">
        <f>I822+I823</f>
        <v>0</v>
      </c>
    </row>
    <row r="820" spans="1:9" s="32" customFormat="1" ht="26.25">
      <c r="A820" s="108" t="s">
        <v>528</v>
      </c>
      <c r="B820" s="113"/>
      <c r="C820" s="174" t="s">
        <v>150</v>
      </c>
      <c r="D820" s="174" t="s">
        <v>196</v>
      </c>
      <c r="E820" s="200" t="s">
        <v>527</v>
      </c>
      <c r="F820" s="202"/>
      <c r="G820" s="74">
        <f aca="true" t="shared" si="150" ref="G820:I821">G821</f>
        <v>4894.610000000001</v>
      </c>
      <c r="H820" s="74">
        <f t="shared" si="150"/>
        <v>4894.610000000001</v>
      </c>
      <c r="I820" s="74">
        <f t="shared" si="150"/>
        <v>0</v>
      </c>
    </row>
    <row r="821" spans="1:9" s="32" customFormat="1" ht="15.75">
      <c r="A821" s="128" t="s">
        <v>265</v>
      </c>
      <c r="B821" s="113"/>
      <c r="C821" s="174" t="s">
        <v>150</v>
      </c>
      <c r="D821" s="174" t="s">
        <v>196</v>
      </c>
      <c r="E821" s="200" t="s">
        <v>527</v>
      </c>
      <c r="F821" s="202" t="s">
        <v>229</v>
      </c>
      <c r="G821" s="74">
        <f t="shared" si="150"/>
        <v>4894.610000000001</v>
      </c>
      <c r="H821" s="74">
        <f t="shared" si="150"/>
        <v>4894.610000000001</v>
      </c>
      <c r="I821" s="74">
        <f t="shared" si="150"/>
        <v>0</v>
      </c>
    </row>
    <row r="822" spans="1:9" s="32" customFormat="1" ht="15.75">
      <c r="A822" s="187" t="s">
        <v>207</v>
      </c>
      <c r="B822" s="113"/>
      <c r="C822" s="174" t="s">
        <v>150</v>
      </c>
      <c r="D822" s="174" t="s">
        <v>196</v>
      </c>
      <c r="E822" s="200" t="s">
        <v>527</v>
      </c>
      <c r="F822" s="202" t="s">
        <v>230</v>
      </c>
      <c r="G822" s="74">
        <f>4511.31+383.3</f>
        <v>4894.610000000001</v>
      </c>
      <c r="H822" s="74">
        <f>4511.31+383.3</f>
        <v>4894.610000000001</v>
      </c>
      <c r="I822" s="74">
        <f>G822-H822</f>
        <v>0</v>
      </c>
    </row>
    <row r="823" spans="1:9" s="32" customFormat="1" ht="26.25">
      <c r="A823" s="108" t="s">
        <v>529</v>
      </c>
      <c r="B823" s="113"/>
      <c r="C823" s="174" t="s">
        <v>150</v>
      </c>
      <c r="D823" s="174" t="s">
        <v>196</v>
      </c>
      <c r="E823" s="200" t="s">
        <v>530</v>
      </c>
      <c r="F823" s="202"/>
      <c r="G823" s="74">
        <f aca="true" t="shared" si="151" ref="G823:I824">G824</f>
        <v>2328.227</v>
      </c>
      <c r="H823" s="74">
        <f t="shared" si="151"/>
        <v>2328.227</v>
      </c>
      <c r="I823" s="74">
        <f t="shared" si="151"/>
        <v>0</v>
      </c>
    </row>
    <row r="824" spans="1:9" s="32" customFormat="1" ht="15.75">
      <c r="A824" s="128" t="s">
        <v>265</v>
      </c>
      <c r="B824" s="113"/>
      <c r="C824" s="174" t="s">
        <v>150</v>
      </c>
      <c r="D824" s="174" t="s">
        <v>196</v>
      </c>
      <c r="E824" s="200" t="s">
        <v>530</v>
      </c>
      <c r="F824" s="202" t="s">
        <v>229</v>
      </c>
      <c r="G824" s="74">
        <f t="shared" si="151"/>
        <v>2328.227</v>
      </c>
      <c r="H824" s="74">
        <f t="shared" si="151"/>
        <v>2328.227</v>
      </c>
      <c r="I824" s="74">
        <f t="shared" si="151"/>
        <v>0</v>
      </c>
    </row>
    <row r="825" spans="1:9" s="32" customFormat="1" ht="15.75">
      <c r="A825" s="187" t="s">
        <v>207</v>
      </c>
      <c r="B825" s="113"/>
      <c r="C825" s="174" t="s">
        <v>150</v>
      </c>
      <c r="D825" s="174" t="s">
        <v>196</v>
      </c>
      <c r="E825" s="200" t="s">
        <v>530</v>
      </c>
      <c r="F825" s="202" t="s">
        <v>230</v>
      </c>
      <c r="G825" s="74">
        <v>2328.227</v>
      </c>
      <c r="H825" s="74">
        <v>2328.227</v>
      </c>
      <c r="I825" s="74">
        <f>G825-H825</f>
        <v>0</v>
      </c>
    </row>
    <row r="826" spans="1:9" s="32" customFormat="1" ht="15.75">
      <c r="A826" s="139" t="s">
        <v>497</v>
      </c>
      <c r="B826" s="140" t="s">
        <v>240</v>
      </c>
      <c r="C826" s="222"/>
      <c r="D826" s="222"/>
      <c r="E826" s="223"/>
      <c r="F826" s="222"/>
      <c r="G826" s="78">
        <f aca="true" t="shared" si="152" ref="G826:H828">G827</f>
        <v>2441</v>
      </c>
      <c r="H826" s="78">
        <f t="shared" si="152"/>
        <v>2441</v>
      </c>
      <c r="I826" s="78">
        <f>I827</f>
        <v>0</v>
      </c>
    </row>
    <row r="827" spans="1:9" s="32" customFormat="1" ht="15.75">
      <c r="A827" s="106" t="s">
        <v>154</v>
      </c>
      <c r="B827" s="107"/>
      <c r="C827" s="173" t="s">
        <v>180</v>
      </c>
      <c r="D827" s="174"/>
      <c r="E827" s="200" t="s">
        <v>201</v>
      </c>
      <c r="F827" s="174"/>
      <c r="G827" s="78">
        <f t="shared" si="152"/>
        <v>2441</v>
      </c>
      <c r="H827" s="78">
        <f t="shared" si="152"/>
        <v>2441</v>
      </c>
      <c r="I827" s="78">
        <f>I828</f>
        <v>0</v>
      </c>
    </row>
    <row r="828" spans="1:9" s="32" customFormat="1" ht="25.5">
      <c r="A828" s="125" t="s">
        <v>177</v>
      </c>
      <c r="B828" s="137"/>
      <c r="C828" s="173" t="s">
        <v>180</v>
      </c>
      <c r="D828" s="173" t="s">
        <v>153</v>
      </c>
      <c r="E828" s="201" t="s">
        <v>201</v>
      </c>
      <c r="F828" s="224"/>
      <c r="G828" s="98">
        <f t="shared" si="152"/>
        <v>2441</v>
      </c>
      <c r="H828" s="98">
        <f t="shared" si="152"/>
        <v>2441</v>
      </c>
      <c r="I828" s="98">
        <f>I829</f>
        <v>0</v>
      </c>
    </row>
    <row r="829" spans="1:9" s="32" customFormat="1" ht="16.5" customHeight="1">
      <c r="A829" s="125" t="s">
        <v>498</v>
      </c>
      <c r="B829" s="137"/>
      <c r="C829" s="173" t="s">
        <v>180</v>
      </c>
      <c r="D829" s="173" t="s">
        <v>153</v>
      </c>
      <c r="E829" s="201" t="s">
        <v>80</v>
      </c>
      <c r="F829" s="224"/>
      <c r="G829" s="98">
        <f>G830+G834</f>
        <v>2441</v>
      </c>
      <c r="H829" s="98">
        <f>H830+H834</f>
        <v>2441</v>
      </c>
      <c r="I829" s="98">
        <f>I830+I834</f>
        <v>0</v>
      </c>
    </row>
    <row r="830" spans="1:9" ht="15.75">
      <c r="A830" s="112" t="s">
        <v>499</v>
      </c>
      <c r="B830" s="137"/>
      <c r="C830" s="174" t="s">
        <v>180</v>
      </c>
      <c r="D830" s="174" t="s">
        <v>153</v>
      </c>
      <c r="E830" s="200" t="s">
        <v>81</v>
      </c>
      <c r="F830" s="225"/>
      <c r="G830" s="99">
        <f aca="true" t="shared" si="153" ref="G830:H832">G831</f>
        <v>1354</v>
      </c>
      <c r="H830" s="99">
        <f t="shared" si="153"/>
        <v>1354</v>
      </c>
      <c r="I830" s="99">
        <f>I831</f>
        <v>0</v>
      </c>
    </row>
    <row r="831" spans="1:9" s="13" customFormat="1" ht="15.75">
      <c r="A831" s="112" t="s">
        <v>123</v>
      </c>
      <c r="B831" s="137"/>
      <c r="C831" s="174" t="s">
        <v>180</v>
      </c>
      <c r="D831" s="174" t="s">
        <v>153</v>
      </c>
      <c r="E831" s="200" t="s">
        <v>82</v>
      </c>
      <c r="F831" s="225"/>
      <c r="G831" s="99">
        <f t="shared" si="153"/>
        <v>1354</v>
      </c>
      <c r="H831" s="99">
        <f t="shared" si="153"/>
        <v>1354</v>
      </c>
      <c r="I831" s="99">
        <f>I832</f>
        <v>0</v>
      </c>
    </row>
    <row r="832" spans="1:9" s="13" customFormat="1" ht="25.5">
      <c r="A832" s="110" t="s">
        <v>139</v>
      </c>
      <c r="B832" s="137"/>
      <c r="C832" s="174" t="s">
        <v>180</v>
      </c>
      <c r="D832" s="174" t="s">
        <v>153</v>
      </c>
      <c r="E832" s="200" t="s">
        <v>82</v>
      </c>
      <c r="F832" s="202" t="s">
        <v>228</v>
      </c>
      <c r="G832" s="99">
        <f t="shared" si="153"/>
        <v>1354</v>
      </c>
      <c r="H832" s="99">
        <f t="shared" si="153"/>
        <v>1354</v>
      </c>
      <c r="I832" s="99">
        <f>I833</f>
        <v>0</v>
      </c>
    </row>
    <row r="833" spans="1:9" s="13" customFormat="1" ht="15.75">
      <c r="A833" s="110" t="s">
        <v>223</v>
      </c>
      <c r="B833" s="137"/>
      <c r="C833" s="174" t="s">
        <v>180</v>
      </c>
      <c r="D833" s="174" t="s">
        <v>153</v>
      </c>
      <c r="E833" s="200" t="s">
        <v>82</v>
      </c>
      <c r="F833" s="202" t="s">
        <v>224</v>
      </c>
      <c r="G833" s="74">
        <f>1032.4+321.6</f>
        <v>1354</v>
      </c>
      <c r="H833" s="74">
        <f>1032.4+321.6</f>
        <v>1354</v>
      </c>
      <c r="I833" s="74">
        <f>G833-H833</f>
        <v>0</v>
      </c>
    </row>
    <row r="834" spans="1:9" s="13" customFormat="1" ht="23.25" customHeight="1">
      <c r="A834" s="117" t="s">
        <v>500</v>
      </c>
      <c r="B834" s="137"/>
      <c r="C834" s="174" t="s">
        <v>180</v>
      </c>
      <c r="D834" s="174" t="s">
        <v>153</v>
      </c>
      <c r="E834" s="200" t="s">
        <v>83</v>
      </c>
      <c r="F834" s="202"/>
      <c r="G834" s="74">
        <f>G835+G840</f>
        <v>1087</v>
      </c>
      <c r="H834" s="74">
        <f>H835+H840</f>
        <v>1087</v>
      </c>
      <c r="I834" s="74">
        <f>I835+I840</f>
        <v>0</v>
      </c>
    </row>
    <row r="835" spans="1:9" s="13" customFormat="1" ht="15.75">
      <c r="A835" s="112" t="s">
        <v>123</v>
      </c>
      <c r="B835" s="137"/>
      <c r="C835" s="174" t="s">
        <v>180</v>
      </c>
      <c r="D835" s="174" t="s">
        <v>153</v>
      </c>
      <c r="E835" s="200" t="s">
        <v>84</v>
      </c>
      <c r="F835" s="225"/>
      <c r="G835" s="99">
        <f>G836+G838</f>
        <v>170.39999999999998</v>
      </c>
      <c r="H835" s="99">
        <f>H836+H838</f>
        <v>170.39999999999998</v>
      </c>
      <c r="I835" s="99">
        <f>I836+I838</f>
        <v>0</v>
      </c>
    </row>
    <row r="836" spans="1:9" s="13" customFormat="1" ht="25.5">
      <c r="A836" s="110" t="s">
        <v>139</v>
      </c>
      <c r="B836" s="137"/>
      <c r="C836" s="174" t="s">
        <v>180</v>
      </c>
      <c r="D836" s="174" t="s">
        <v>153</v>
      </c>
      <c r="E836" s="200" t="s">
        <v>84</v>
      </c>
      <c r="F836" s="202" t="s">
        <v>228</v>
      </c>
      <c r="G836" s="99">
        <f>G837</f>
        <v>84.8</v>
      </c>
      <c r="H836" s="99">
        <f>H837</f>
        <v>84.8</v>
      </c>
      <c r="I836" s="99">
        <f>I837</f>
        <v>0</v>
      </c>
    </row>
    <row r="837" spans="1:9" s="13" customFormat="1" ht="15.75">
      <c r="A837" s="110" t="s">
        <v>223</v>
      </c>
      <c r="B837" s="137"/>
      <c r="C837" s="174" t="s">
        <v>180</v>
      </c>
      <c r="D837" s="174" t="s">
        <v>153</v>
      </c>
      <c r="E837" s="200" t="s">
        <v>84</v>
      </c>
      <c r="F837" s="202" t="s">
        <v>224</v>
      </c>
      <c r="G837" s="74">
        <f>84.8</f>
        <v>84.8</v>
      </c>
      <c r="H837" s="74">
        <f>84.8</f>
        <v>84.8</v>
      </c>
      <c r="I837" s="74">
        <f>G837-H837</f>
        <v>0</v>
      </c>
    </row>
    <row r="838" spans="1:9" s="13" customFormat="1" ht="15.75">
      <c r="A838" s="110" t="s">
        <v>264</v>
      </c>
      <c r="B838" s="113"/>
      <c r="C838" s="174" t="s">
        <v>180</v>
      </c>
      <c r="D838" s="174" t="s">
        <v>153</v>
      </c>
      <c r="E838" s="200" t="s">
        <v>84</v>
      </c>
      <c r="F838" s="202" t="s">
        <v>216</v>
      </c>
      <c r="G838" s="74">
        <f>G839</f>
        <v>85.6</v>
      </c>
      <c r="H838" s="74">
        <f>H839</f>
        <v>85.6</v>
      </c>
      <c r="I838" s="74">
        <f>I839</f>
        <v>0</v>
      </c>
    </row>
    <row r="839" spans="1:9" s="13" customFormat="1" ht="15.75">
      <c r="A839" s="144" t="s">
        <v>217</v>
      </c>
      <c r="B839" s="113"/>
      <c r="C839" s="174" t="s">
        <v>180</v>
      </c>
      <c r="D839" s="174" t="s">
        <v>153</v>
      </c>
      <c r="E839" s="200" t="s">
        <v>84</v>
      </c>
      <c r="F839" s="202" t="s">
        <v>215</v>
      </c>
      <c r="G839" s="74">
        <v>85.6</v>
      </c>
      <c r="H839" s="74">
        <v>85.6</v>
      </c>
      <c r="I839" s="74">
        <f>G839-H839</f>
        <v>0</v>
      </c>
    </row>
    <row r="840" spans="1:9" s="13" customFormat="1" ht="15" customHeight="1">
      <c r="A840" s="112" t="s">
        <v>124</v>
      </c>
      <c r="B840" s="137"/>
      <c r="C840" s="174" t="s">
        <v>180</v>
      </c>
      <c r="D840" s="174" t="s">
        <v>153</v>
      </c>
      <c r="E840" s="200" t="s">
        <v>85</v>
      </c>
      <c r="F840" s="225"/>
      <c r="G840" s="99">
        <f aca="true" t="shared" si="154" ref="G840:I841">G841</f>
        <v>916.6</v>
      </c>
      <c r="H840" s="99">
        <f t="shared" si="154"/>
        <v>916.6</v>
      </c>
      <c r="I840" s="99">
        <f t="shared" si="154"/>
        <v>0</v>
      </c>
    </row>
    <row r="841" spans="1:9" s="13" customFormat="1" ht="25.5">
      <c r="A841" s="110" t="s">
        <v>139</v>
      </c>
      <c r="B841" s="137"/>
      <c r="C841" s="174" t="s">
        <v>180</v>
      </c>
      <c r="D841" s="174" t="s">
        <v>153</v>
      </c>
      <c r="E841" s="200" t="s">
        <v>85</v>
      </c>
      <c r="F841" s="202" t="s">
        <v>228</v>
      </c>
      <c r="G841" s="99">
        <f t="shared" si="154"/>
        <v>916.6</v>
      </c>
      <c r="H841" s="99">
        <f t="shared" si="154"/>
        <v>916.6</v>
      </c>
      <c r="I841" s="99">
        <f t="shared" si="154"/>
        <v>0</v>
      </c>
    </row>
    <row r="842" spans="1:9" s="13" customFormat="1" ht="15.75">
      <c r="A842" s="110" t="s">
        <v>223</v>
      </c>
      <c r="B842" s="137"/>
      <c r="C842" s="174" t="s">
        <v>180</v>
      </c>
      <c r="D842" s="174" t="s">
        <v>153</v>
      </c>
      <c r="E842" s="200" t="s">
        <v>85</v>
      </c>
      <c r="F842" s="202" t="s">
        <v>224</v>
      </c>
      <c r="G842" s="74">
        <f>704+212.6</f>
        <v>916.6</v>
      </c>
      <c r="H842" s="74">
        <f>704+212.6</f>
        <v>916.6</v>
      </c>
      <c r="I842" s="74">
        <f>G842-H842</f>
        <v>0</v>
      </c>
    </row>
    <row r="843" spans="1:9" s="13" customFormat="1" ht="26.25">
      <c r="A843" s="139" t="s">
        <v>398</v>
      </c>
      <c r="B843" s="140" t="s">
        <v>246</v>
      </c>
      <c r="C843" s="222"/>
      <c r="D843" s="222"/>
      <c r="E843" s="223"/>
      <c r="F843" s="222"/>
      <c r="G843" s="78">
        <f>G844+G857+G868+G911+G937+G928</f>
        <v>313127.642</v>
      </c>
      <c r="H843" s="78">
        <f>H844+H857+H868+H911+H937+H928</f>
        <v>313327.642</v>
      </c>
      <c r="I843" s="78">
        <f>I844+I857+I868+I911+I937+I928</f>
        <v>-200.0000000000001</v>
      </c>
    </row>
    <row r="844" spans="1:9" s="13" customFormat="1" ht="15.75">
      <c r="A844" s="106" t="s">
        <v>154</v>
      </c>
      <c r="B844" s="107"/>
      <c r="C844" s="173" t="s">
        <v>180</v>
      </c>
      <c r="D844" s="174"/>
      <c r="E844" s="200" t="s">
        <v>201</v>
      </c>
      <c r="F844" s="174"/>
      <c r="G844" s="100">
        <f>G846+G852</f>
        <v>14944.5</v>
      </c>
      <c r="H844" s="100">
        <f>H846+H852</f>
        <v>14887.5</v>
      </c>
      <c r="I844" s="100">
        <f>I846+I852</f>
        <v>57</v>
      </c>
    </row>
    <row r="845" spans="1:9" s="13" customFormat="1" ht="26.25">
      <c r="A845" s="106" t="s">
        <v>238</v>
      </c>
      <c r="B845" s="107"/>
      <c r="C845" s="173" t="s">
        <v>180</v>
      </c>
      <c r="D845" s="173" t="s">
        <v>196</v>
      </c>
      <c r="E845" s="201"/>
      <c r="F845" s="203"/>
      <c r="G845" s="78">
        <f aca="true" t="shared" si="155" ref="G845:I846">G846</f>
        <v>12306</v>
      </c>
      <c r="H845" s="78">
        <f t="shared" si="155"/>
        <v>12306</v>
      </c>
      <c r="I845" s="78">
        <f t="shared" si="155"/>
        <v>0</v>
      </c>
    </row>
    <row r="846" spans="1:9" s="13" customFormat="1" ht="26.25">
      <c r="A846" s="106" t="s">
        <v>501</v>
      </c>
      <c r="B846" s="107"/>
      <c r="C846" s="173" t="s">
        <v>180</v>
      </c>
      <c r="D846" s="173" t="s">
        <v>196</v>
      </c>
      <c r="E846" s="201" t="s">
        <v>314</v>
      </c>
      <c r="F846" s="203"/>
      <c r="G846" s="78">
        <f t="shared" si="155"/>
        <v>12306</v>
      </c>
      <c r="H846" s="78">
        <f t="shared" si="155"/>
        <v>12306</v>
      </c>
      <c r="I846" s="78">
        <f t="shared" si="155"/>
        <v>0</v>
      </c>
    </row>
    <row r="847" spans="1:9" s="13" customFormat="1" ht="15.75">
      <c r="A847" s="108" t="s">
        <v>138</v>
      </c>
      <c r="B847" s="107"/>
      <c r="C847" s="174" t="s">
        <v>180</v>
      </c>
      <c r="D847" s="174" t="s">
        <v>196</v>
      </c>
      <c r="E847" s="200" t="s">
        <v>315</v>
      </c>
      <c r="F847" s="202"/>
      <c r="G847" s="74">
        <f>G848+G850</f>
        <v>12306</v>
      </c>
      <c r="H847" s="74">
        <f>H848+H850</f>
        <v>12306</v>
      </c>
      <c r="I847" s="74">
        <f>I848+I850</f>
        <v>0</v>
      </c>
    </row>
    <row r="848" spans="1:9" s="13" customFormat="1" ht="25.5">
      <c r="A848" s="110" t="s">
        <v>139</v>
      </c>
      <c r="B848" s="107"/>
      <c r="C848" s="174" t="s">
        <v>180</v>
      </c>
      <c r="D848" s="174" t="s">
        <v>196</v>
      </c>
      <c r="E848" s="200" t="s">
        <v>315</v>
      </c>
      <c r="F848" s="202" t="s">
        <v>228</v>
      </c>
      <c r="G848" s="74">
        <f>G849</f>
        <v>11401.2</v>
      </c>
      <c r="H848" s="74">
        <f>H849</f>
        <v>11401.2</v>
      </c>
      <c r="I848" s="74">
        <f>I849</f>
        <v>0</v>
      </c>
    </row>
    <row r="849" spans="1:9" s="13" customFormat="1" ht="15.75">
      <c r="A849" s="110" t="s">
        <v>223</v>
      </c>
      <c r="B849" s="113"/>
      <c r="C849" s="174" t="s">
        <v>180</v>
      </c>
      <c r="D849" s="174" t="s">
        <v>196</v>
      </c>
      <c r="E849" s="200" t="s">
        <v>315</v>
      </c>
      <c r="F849" s="202" t="s">
        <v>224</v>
      </c>
      <c r="G849" s="74">
        <f>8653.1+135+2613.1</f>
        <v>11401.2</v>
      </c>
      <c r="H849" s="74">
        <f>8653.1+135+2613.1</f>
        <v>11401.2</v>
      </c>
      <c r="I849" s="74">
        <f>G849-H849</f>
        <v>0</v>
      </c>
    </row>
    <row r="850" spans="1:9" s="13" customFormat="1" ht="15.75">
      <c r="A850" s="110" t="s">
        <v>264</v>
      </c>
      <c r="B850" s="113"/>
      <c r="C850" s="174" t="s">
        <v>180</v>
      </c>
      <c r="D850" s="174" t="s">
        <v>196</v>
      </c>
      <c r="E850" s="200" t="s">
        <v>315</v>
      </c>
      <c r="F850" s="202" t="s">
        <v>216</v>
      </c>
      <c r="G850" s="74">
        <f>G851</f>
        <v>904.8</v>
      </c>
      <c r="H850" s="74">
        <f>H851</f>
        <v>904.8</v>
      </c>
      <c r="I850" s="74">
        <f>I851</f>
        <v>0</v>
      </c>
    </row>
    <row r="851" spans="1:9" s="13" customFormat="1" ht="15.75">
      <c r="A851" s="110" t="s">
        <v>217</v>
      </c>
      <c r="B851" s="113"/>
      <c r="C851" s="174" t="s">
        <v>180</v>
      </c>
      <c r="D851" s="174" t="s">
        <v>196</v>
      </c>
      <c r="E851" s="200" t="s">
        <v>315</v>
      </c>
      <c r="F851" s="202" t="s">
        <v>215</v>
      </c>
      <c r="G851" s="74">
        <v>904.8</v>
      </c>
      <c r="H851" s="74">
        <v>904.8</v>
      </c>
      <c r="I851" s="74">
        <f>G851-H851</f>
        <v>0</v>
      </c>
    </row>
    <row r="852" spans="1:9" s="13" customFormat="1" ht="26.25">
      <c r="A852" s="106" t="s">
        <v>238</v>
      </c>
      <c r="B852" s="107"/>
      <c r="C852" s="173" t="s">
        <v>180</v>
      </c>
      <c r="D852" s="173" t="s">
        <v>146</v>
      </c>
      <c r="E852" s="201"/>
      <c r="F852" s="203"/>
      <c r="G852" s="78">
        <f aca="true" t="shared" si="156" ref="G852:I853">G853</f>
        <v>2638.5</v>
      </c>
      <c r="H852" s="78">
        <f t="shared" si="156"/>
        <v>2581.5</v>
      </c>
      <c r="I852" s="78">
        <f t="shared" si="156"/>
        <v>57</v>
      </c>
    </row>
    <row r="853" spans="1:9" s="13" customFormat="1" ht="15.75">
      <c r="A853" s="106" t="s">
        <v>349</v>
      </c>
      <c r="B853" s="107"/>
      <c r="C853" s="173" t="s">
        <v>180</v>
      </c>
      <c r="D853" s="173" t="s">
        <v>146</v>
      </c>
      <c r="E853" s="201" t="s">
        <v>348</v>
      </c>
      <c r="F853" s="203"/>
      <c r="G853" s="78">
        <f t="shared" si="156"/>
        <v>2638.5</v>
      </c>
      <c r="H853" s="78">
        <f t="shared" si="156"/>
        <v>2581.5</v>
      </c>
      <c r="I853" s="78">
        <f t="shared" si="156"/>
        <v>57</v>
      </c>
    </row>
    <row r="854" spans="1:9" s="13" customFormat="1" ht="15.75">
      <c r="A854" s="108" t="s">
        <v>138</v>
      </c>
      <c r="B854" s="107"/>
      <c r="C854" s="174" t="s">
        <v>180</v>
      </c>
      <c r="D854" s="174" t="s">
        <v>146</v>
      </c>
      <c r="E854" s="200" t="s">
        <v>674</v>
      </c>
      <c r="F854" s="202"/>
      <c r="G854" s="74">
        <f aca="true" t="shared" si="157" ref="G854:I855">G855</f>
        <v>2638.5</v>
      </c>
      <c r="H854" s="74">
        <f t="shared" si="157"/>
        <v>2581.5</v>
      </c>
      <c r="I854" s="74">
        <f t="shared" si="157"/>
        <v>57</v>
      </c>
    </row>
    <row r="855" spans="1:9" s="13" customFormat="1" ht="15.75">
      <c r="A855" s="110" t="s">
        <v>107</v>
      </c>
      <c r="B855" s="107"/>
      <c r="C855" s="174" t="s">
        <v>180</v>
      </c>
      <c r="D855" s="174" t="s">
        <v>146</v>
      </c>
      <c r="E855" s="200" t="s">
        <v>674</v>
      </c>
      <c r="F855" s="202" t="s">
        <v>100</v>
      </c>
      <c r="G855" s="74">
        <f t="shared" si="157"/>
        <v>2638.5</v>
      </c>
      <c r="H855" s="74">
        <f t="shared" si="157"/>
        <v>2581.5</v>
      </c>
      <c r="I855" s="74">
        <f t="shared" si="157"/>
        <v>57</v>
      </c>
    </row>
    <row r="856" spans="1:9" s="13" customFormat="1" ht="15.75">
      <c r="A856" s="110" t="s">
        <v>242</v>
      </c>
      <c r="B856" s="113"/>
      <c r="C856" s="174" t="s">
        <v>180</v>
      </c>
      <c r="D856" s="174" t="s">
        <v>146</v>
      </c>
      <c r="E856" s="200" t="s">
        <v>674</v>
      </c>
      <c r="F856" s="202" t="s">
        <v>243</v>
      </c>
      <c r="G856" s="74">
        <v>2638.5</v>
      </c>
      <c r="H856" s="74">
        <v>2581.5</v>
      </c>
      <c r="I856" s="74">
        <f>G856-H856</f>
        <v>57</v>
      </c>
    </row>
    <row r="857" spans="1:9" s="13" customFormat="1" ht="15.75">
      <c r="A857" s="106" t="s">
        <v>210</v>
      </c>
      <c r="B857" s="111"/>
      <c r="C857" s="173" t="s">
        <v>196</v>
      </c>
      <c r="D857" s="174"/>
      <c r="E857" s="200"/>
      <c r="F857" s="202"/>
      <c r="G857" s="78">
        <f aca="true" t="shared" si="158" ref="G857:I858">G858</f>
        <v>14200.342</v>
      </c>
      <c r="H857" s="78">
        <f t="shared" si="158"/>
        <v>14200.342</v>
      </c>
      <c r="I857" s="78">
        <f t="shared" si="158"/>
        <v>0</v>
      </c>
    </row>
    <row r="858" spans="1:9" s="13" customFormat="1" ht="15.75">
      <c r="A858" s="134" t="s">
        <v>160</v>
      </c>
      <c r="B858" s="107"/>
      <c r="C858" s="173" t="s">
        <v>196</v>
      </c>
      <c r="D858" s="173" t="s">
        <v>194</v>
      </c>
      <c r="E858" s="201"/>
      <c r="F858" s="203"/>
      <c r="G858" s="78">
        <f t="shared" si="158"/>
        <v>14200.342</v>
      </c>
      <c r="H858" s="78">
        <f t="shared" si="158"/>
        <v>14200.342</v>
      </c>
      <c r="I858" s="78">
        <f t="shared" si="158"/>
        <v>0</v>
      </c>
    </row>
    <row r="859" spans="1:9" s="13" customFormat="1" ht="15.75">
      <c r="A859" s="114" t="s">
        <v>19</v>
      </c>
      <c r="B859" s="107"/>
      <c r="C859" s="173" t="s">
        <v>196</v>
      </c>
      <c r="D859" s="173" t="s">
        <v>194</v>
      </c>
      <c r="E859" s="201" t="s">
        <v>17</v>
      </c>
      <c r="F859" s="203"/>
      <c r="G859" s="78">
        <f>G860+G863</f>
        <v>14200.342</v>
      </c>
      <c r="H859" s="78">
        <f>H860+H863</f>
        <v>14200.342</v>
      </c>
      <c r="I859" s="78">
        <f>I860+I863</f>
        <v>0</v>
      </c>
    </row>
    <row r="860" spans="1:9" s="13" customFormat="1" ht="38.25">
      <c r="A860" s="193" t="s">
        <v>271</v>
      </c>
      <c r="B860" s="111"/>
      <c r="C860" s="174" t="s">
        <v>196</v>
      </c>
      <c r="D860" s="174" t="s">
        <v>194</v>
      </c>
      <c r="E860" s="200" t="s">
        <v>18</v>
      </c>
      <c r="F860" s="202"/>
      <c r="G860" s="74">
        <f>G862</f>
        <v>8026.7</v>
      </c>
      <c r="H860" s="74">
        <f>H862</f>
        <v>8026.7</v>
      </c>
      <c r="I860" s="74">
        <f>I862</f>
        <v>0</v>
      </c>
    </row>
    <row r="861" spans="1:9" s="13" customFormat="1" ht="15.75">
      <c r="A861" s="110" t="s">
        <v>264</v>
      </c>
      <c r="B861" s="111"/>
      <c r="C861" s="174" t="s">
        <v>196</v>
      </c>
      <c r="D861" s="174" t="s">
        <v>194</v>
      </c>
      <c r="E861" s="200" t="s">
        <v>18</v>
      </c>
      <c r="F861" s="202" t="s">
        <v>216</v>
      </c>
      <c r="G861" s="74">
        <f>G862</f>
        <v>8026.7</v>
      </c>
      <c r="H861" s="74">
        <f>H862</f>
        <v>8026.7</v>
      </c>
      <c r="I861" s="74">
        <f>I862</f>
        <v>0</v>
      </c>
    </row>
    <row r="862" spans="1:9" s="13" customFormat="1" ht="15.75">
      <c r="A862" s="110" t="s">
        <v>217</v>
      </c>
      <c r="B862" s="111"/>
      <c r="C862" s="174" t="s">
        <v>196</v>
      </c>
      <c r="D862" s="174" t="s">
        <v>194</v>
      </c>
      <c r="E862" s="200" t="s">
        <v>18</v>
      </c>
      <c r="F862" s="202" t="s">
        <v>215</v>
      </c>
      <c r="G862" s="74">
        <v>8026.7</v>
      </c>
      <c r="H862" s="74">
        <v>8026.7</v>
      </c>
      <c r="I862" s="74">
        <f>G862-H862</f>
        <v>0</v>
      </c>
    </row>
    <row r="863" spans="1:9" s="13" customFormat="1" ht="51">
      <c r="A863" s="112" t="s">
        <v>331</v>
      </c>
      <c r="B863" s="111"/>
      <c r="C863" s="174" t="s">
        <v>196</v>
      </c>
      <c r="D863" s="174" t="s">
        <v>194</v>
      </c>
      <c r="E863" s="200" t="s">
        <v>399</v>
      </c>
      <c r="F863" s="202"/>
      <c r="G863" s="74">
        <f>G865+G867</f>
        <v>6173.642</v>
      </c>
      <c r="H863" s="74">
        <f>H865+H867</f>
        <v>6173.642</v>
      </c>
      <c r="I863" s="74">
        <f>I865+I867</f>
        <v>0</v>
      </c>
    </row>
    <row r="864" spans="1:9" s="13" customFormat="1" ht="15.75">
      <c r="A864" s="110" t="s">
        <v>264</v>
      </c>
      <c r="B864" s="111"/>
      <c r="C864" s="174" t="s">
        <v>196</v>
      </c>
      <c r="D864" s="174" t="s">
        <v>194</v>
      </c>
      <c r="E864" s="200" t="s">
        <v>399</v>
      </c>
      <c r="F864" s="202" t="s">
        <v>216</v>
      </c>
      <c r="G864" s="74">
        <f>G865</f>
        <v>1146.842</v>
      </c>
      <c r="H864" s="74">
        <f>H865</f>
        <v>1146.842</v>
      </c>
      <c r="I864" s="74">
        <f>I865</f>
        <v>0</v>
      </c>
    </row>
    <row r="865" spans="1:9" s="13" customFormat="1" ht="19.5" customHeight="1">
      <c r="A865" s="110" t="s">
        <v>217</v>
      </c>
      <c r="B865" s="111"/>
      <c r="C865" s="174" t="s">
        <v>196</v>
      </c>
      <c r="D865" s="174" t="s">
        <v>194</v>
      </c>
      <c r="E865" s="200" t="s">
        <v>399</v>
      </c>
      <c r="F865" s="202" t="s">
        <v>215</v>
      </c>
      <c r="G865" s="74">
        <v>1146.842</v>
      </c>
      <c r="H865" s="74">
        <v>1146.842</v>
      </c>
      <c r="I865" s="74">
        <f>G865-H865</f>
        <v>0</v>
      </c>
    </row>
    <row r="866" spans="1:9" s="13" customFormat="1" ht="15.75">
      <c r="A866" s="112" t="s">
        <v>203</v>
      </c>
      <c r="B866" s="111"/>
      <c r="C866" s="174" t="s">
        <v>196</v>
      </c>
      <c r="D866" s="174" t="s">
        <v>194</v>
      </c>
      <c r="E866" s="200" t="s">
        <v>399</v>
      </c>
      <c r="F866" s="202" t="s">
        <v>204</v>
      </c>
      <c r="G866" s="74">
        <f>G867</f>
        <v>5026.8</v>
      </c>
      <c r="H866" s="74">
        <f>H867</f>
        <v>5026.8</v>
      </c>
      <c r="I866" s="74">
        <f>I867</f>
        <v>0</v>
      </c>
    </row>
    <row r="867" spans="1:9" s="13" customFormat="1" ht="15.75">
      <c r="A867" s="112" t="s">
        <v>219</v>
      </c>
      <c r="B867" s="111"/>
      <c r="C867" s="174" t="s">
        <v>196</v>
      </c>
      <c r="D867" s="174" t="s">
        <v>194</v>
      </c>
      <c r="E867" s="200" t="s">
        <v>399</v>
      </c>
      <c r="F867" s="202" t="s">
        <v>218</v>
      </c>
      <c r="G867" s="74">
        <v>5026.8</v>
      </c>
      <c r="H867" s="74">
        <v>5026.8</v>
      </c>
      <c r="I867" s="74">
        <f>G867-H867</f>
        <v>0</v>
      </c>
    </row>
    <row r="868" spans="1:9" s="13" customFormat="1" ht="19.5" customHeight="1">
      <c r="A868" s="106" t="s">
        <v>167</v>
      </c>
      <c r="B868" s="111"/>
      <c r="C868" s="173" t="s">
        <v>198</v>
      </c>
      <c r="D868" s="215" t="s">
        <v>201</v>
      </c>
      <c r="E868" s="214" t="s">
        <v>201</v>
      </c>
      <c r="F868" s="215" t="s">
        <v>201</v>
      </c>
      <c r="G868" s="78">
        <f>G869+G879+G887+G898</f>
        <v>36069</v>
      </c>
      <c r="H868" s="78">
        <f>H869+H879+H887+H898</f>
        <v>36606</v>
      </c>
      <c r="I868" s="78">
        <f>I869+I879+I887+I898</f>
        <v>-537</v>
      </c>
    </row>
    <row r="869" spans="1:9" s="13" customFormat="1" ht="15.75">
      <c r="A869" s="134" t="s">
        <v>241</v>
      </c>
      <c r="B869" s="107"/>
      <c r="C869" s="173" t="s">
        <v>198</v>
      </c>
      <c r="D869" s="173" t="s">
        <v>180</v>
      </c>
      <c r="E869" s="201"/>
      <c r="F869" s="203"/>
      <c r="G869" s="78">
        <f>G871+G875</f>
        <v>1333</v>
      </c>
      <c r="H869" s="78">
        <f>H871+H875</f>
        <v>1390</v>
      </c>
      <c r="I869" s="78">
        <f>I871+I875</f>
        <v>-57</v>
      </c>
    </row>
    <row r="870" spans="1:9" s="13" customFormat="1" ht="15.75">
      <c r="A870" s="134" t="s">
        <v>286</v>
      </c>
      <c r="B870" s="115"/>
      <c r="C870" s="173" t="s">
        <v>198</v>
      </c>
      <c r="D870" s="173" t="s">
        <v>180</v>
      </c>
      <c r="E870" s="201" t="s">
        <v>0</v>
      </c>
      <c r="F870" s="203"/>
      <c r="G870" s="78">
        <f aca="true" t="shared" si="159" ref="G870:H873">G871</f>
        <v>1225</v>
      </c>
      <c r="H870" s="78">
        <f t="shared" si="159"/>
        <v>1225</v>
      </c>
      <c r="I870" s="78">
        <f>I871</f>
        <v>0</v>
      </c>
    </row>
    <row r="871" spans="1:9" s="13" customFormat="1" ht="15.75">
      <c r="A871" s="134" t="s">
        <v>284</v>
      </c>
      <c r="B871" s="115"/>
      <c r="C871" s="173" t="s">
        <v>198</v>
      </c>
      <c r="D871" s="173" t="s">
        <v>180</v>
      </c>
      <c r="E871" s="201" t="s">
        <v>1</v>
      </c>
      <c r="F871" s="203"/>
      <c r="G871" s="78">
        <f t="shared" si="159"/>
        <v>1225</v>
      </c>
      <c r="H871" s="78">
        <f t="shared" si="159"/>
        <v>1225</v>
      </c>
      <c r="I871" s="78">
        <f>I872</f>
        <v>0</v>
      </c>
    </row>
    <row r="872" spans="1:9" s="13" customFormat="1" ht="15.75">
      <c r="A872" s="112" t="s">
        <v>586</v>
      </c>
      <c r="B872" s="113"/>
      <c r="C872" s="174" t="s">
        <v>198</v>
      </c>
      <c r="D872" s="174" t="s">
        <v>180</v>
      </c>
      <c r="E872" s="200" t="s">
        <v>2</v>
      </c>
      <c r="F872" s="202"/>
      <c r="G872" s="74">
        <f t="shared" si="159"/>
        <v>1225</v>
      </c>
      <c r="H872" s="74">
        <f t="shared" si="159"/>
        <v>1225</v>
      </c>
      <c r="I872" s="74">
        <f>I873</f>
        <v>0</v>
      </c>
    </row>
    <row r="873" spans="1:9" s="13" customFormat="1" ht="15.75">
      <c r="A873" s="110" t="s">
        <v>264</v>
      </c>
      <c r="B873" s="113"/>
      <c r="C873" s="174" t="s">
        <v>198</v>
      </c>
      <c r="D873" s="174" t="s">
        <v>180</v>
      </c>
      <c r="E873" s="200" t="s">
        <v>2</v>
      </c>
      <c r="F873" s="202" t="s">
        <v>216</v>
      </c>
      <c r="G873" s="74">
        <f t="shared" si="159"/>
        <v>1225</v>
      </c>
      <c r="H873" s="74">
        <f t="shared" si="159"/>
        <v>1225</v>
      </c>
      <c r="I873" s="74">
        <f>I874</f>
        <v>0</v>
      </c>
    </row>
    <row r="874" spans="1:9" s="13" customFormat="1" ht="15.75">
      <c r="A874" s="136" t="s">
        <v>217</v>
      </c>
      <c r="B874" s="113"/>
      <c r="C874" s="174" t="s">
        <v>198</v>
      </c>
      <c r="D874" s="174" t="s">
        <v>180</v>
      </c>
      <c r="E874" s="200" t="s">
        <v>2</v>
      </c>
      <c r="F874" s="202" t="s">
        <v>215</v>
      </c>
      <c r="G874" s="74">
        <v>1225</v>
      </c>
      <c r="H874" s="74">
        <v>1225</v>
      </c>
      <c r="I874" s="74">
        <f>G874-H874</f>
        <v>0</v>
      </c>
    </row>
    <row r="875" spans="1:9" s="13" customFormat="1" ht="15.75">
      <c r="A875" s="134" t="s">
        <v>409</v>
      </c>
      <c r="B875" s="115"/>
      <c r="C875" s="173" t="s">
        <v>198</v>
      </c>
      <c r="D875" s="173" t="s">
        <v>180</v>
      </c>
      <c r="E875" s="201" t="s">
        <v>303</v>
      </c>
      <c r="F875" s="203"/>
      <c r="G875" s="78">
        <f aca="true" t="shared" si="160" ref="G875:H877">G876</f>
        <v>108</v>
      </c>
      <c r="H875" s="78">
        <f t="shared" si="160"/>
        <v>165</v>
      </c>
      <c r="I875" s="78">
        <f>I876</f>
        <v>-57</v>
      </c>
    </row>
    <row r="876" spans="1:9" s="13" customFormat="1" ht="15.75">
      <c r="A876" s="112" t="s">
        <v>288</v>
      </c>
      <c r="B876" s="113"/>
      <c r="C876" s="174" t="s">
        <v>198</v>
      </c>
      <c r="D876" s="174" t="s">
        <v>180</v>
      </c>
      <c r="E876" s="200" t="s">
        <v>461</v>
      </c>
      <c r="F876" s="202"/>
      <c r="G876" s="74">
        <f t="shared" si="160"/>
        <v>108</v>
      </c>
      <c r="H876" s="74">
        <f t="shared" si="160"/>
        <v>165</v>
      </c>
      <c r="I876" s="74">
        <f>I877</f>
        <v>-57</v>
      </c>
    </row>
    <row r="877" spans="1:9" s="13" customFormat="1" ht="15.75">
      <c r="A877" s="112" t="s">
        <v>107</v>
      </c>
      <c r="B877" s="113"/>
      <c r="C877" s="174" t="s">
        <v>198</v>
      </c>
      <c r="D877" s="174" t="s">
        <v>180</v>
      </c>
      <c r="E877" s="200" t="s">
        <v>461</v>
      </c>
      <c r="F877" s="202" t="s">
        <v>100</v>
      </c>
      <c r="G877" s="74">
        <f t="shared" si="160"/>
        <v>108</v>
      </c>
      <c r="H877" s="74">
        <f t="shared" si="160"/>
        <v>165</v>
      </c>
      <c r="I877" s="74">
        <f>I878</f>
        <v>-57</v>
      </c>
    </row>
    <row r="878" spans="1:9" s="13" customFormat="1" ht="15.75">
      <c r="A878" s="187" t="s">
        <v>242</v>
      </c>
      <c r="B878" s="113"/>
      <c r="C878" s="174" t="s">
        <v>198</v>
      </c>
      <c r="D878" s="174" t="s">
        <v>180</v>
      </c>
      <c r="E878" s="200" t="s">
        <v>461</v>
      </c>
      <c r="F878" s="202" t="s">
        <v>243</v>
      </c>
      <c r="G878" s="74">
        <v>108</v>
      </c>
      <c r="H878" s="74">
        <v>165</v>
      </c>
      <c r="I878" s="74">
        <f>G878-H878</f>
        <v>-57</v>
      </c>
    </row>
    <row r="879" spans="1:9" s="13" customFormat="1" ht="15.75">
      <c r="A879" s="134" t="s">
        <v>516</v>
      </c>
      <c r="B879" s="107"/>
      <c r="C879" s="173" t="s">
        <v>198</v>
      </c>
      <c r="D879" s="173" t="s">
        <v>197</v>
      </c>
      <c r="E879" s="201"/>
      <c r="F879" s="203"/>
      <c r="G879" s="78">
        <f>G880</f>
        <v>6440.6</v>
      </c>
      <c r="H879" s="78">
        <f>H880</f>
        <v>6440.6</v>
      </c>
      <c r="I879" s="78">
        <f>I880</f>
        <v>0</v>
      </c>
    </row>
    <row r="880" spans="1:9" s="13" customFormat="1" ht="15.75">
      <c r="A880" s="125" t="s">
        <v>301</v>
      </c>
      <c r="B880" s="107"/>
      <c r="C880" s="173" t="s">
        <v>198</v>
      </c>
      <c r="D880" s="173" t="s">
        <v>197</v>
      </c>
      <c r="E880" s="201" t="s">
        <v>7</v>
      </c>
      <c r="F880" s="203"/>
      <c r="G880" s="78">
        <f>G884+G881</f>
        <v>6440.6</v>
      </c>
      <c r="H880" s="78">
        <f>H884+H881</f>
        <v>6440.6</v>
      </c>
      <c r="I880" s="78">
        <f>I884+I881</f>
        <v>0</v>
      </c>
    </row>
    <row r="881" spans="1:9" s="13" customFormat="1" ht="25.5">
      <c r="A881" s="112" t="s">
        <v>609</v>
      </c>
      <c r="B881" s="111"/>
      <c r="C881" s="174" t="s">
        <v>198</v>
      </c>
      <c r="D881" s="174" t="s">
        <v>197</v>
      </c>
      <c r="E881" s="200" t="s">
        <v>608</v>
      </c>
      <c r="F881" s="202"/>
      <c r="G881" s="74">
        <f aca="true" t="shared" si="161" ref="G881:I882">G882</f>
        <v>2670.6</v>
      </c>
      <c r="H881" s="74">
        <f t="shared" si="161"/>
        <v>2670.6</v>
      </c>
      <c r="I881" s="74">
        <f t="shared" si="161"/>
        <v>0</v>
      </c>
    </row>
    <row r="882" spans="1:9" s="13" customFormat="1" ht="15.75">
      <c r="A882" s="128" t="s">
        <v>265</v>
      </c>
      <c r="B882" s="111"/>
      <c r="C882" s="174" t="s">
        <v>198</v>
      </c>
      <c r="D882" s="174" t="s">
        <v>197</v>
      </c>
      <c r="E882" s="200" t="s">
        <v>608</v>
      </c>
      <c r="F882" s="202" t="s">
        <v>229</v>
      </c>
      <c r="G882" s="74">
        <f t="shared" si="161"/>
        <v>2670.6</v>
      </c>
      <c r="H882" s="74">
        <f t="shared" si="161"/>
        <v>2670.6</v>
      </c>
      <c r="I882" s="74">
        <f t="shared" si="161"/>
        <v>0</v>
      </c>
    </row>
    <row r="883" spans="1:9" s="13" customFormat="1" ht="15.75">
      <c r="A883" s="187" t="s">
        <v>207</v>
      </c>
      <c r="B883" s="111"/>
      <c r="C883" s="174" t="s">
        <v>198</v>
      </c>
      <c r="D883" s="174" t="s">
        <v>197</v>
      </c>
      <c r="E883" s="200" t="s">
        <v>608</v>
      </c>
      <c r="F883" s="202" t="s">
        <v>230</v>
      </c>
      <c r="G883" s="103">
        <v>2670.6</v>
      </c>
      <c r="H883" s="103">
        <v>2670.6</v>
      </c>
      <c r="I883" s="74">
        <f>G883-H883</f>
        <v>0</v>
      </c>
    </row>
    <row r="884" spans="1:9" s="13" customFormat="1" ht="15.75">
      <c r="A884" s="112" t="s">
        <v>272</v>
      </c>
      <c r="B884" s="111"/>
      <c r="C884" s="174" t="s">
        <v>198</v>
      </c>
      <c r="D884" s="174" t="s">
        <v>197</v>
      </c>
      <c r="E884" s="200" t="s">
        <v>302</v>
      </c>
      <c r="F884" s="202"/>
      <c r="G884" s="74">
        <f aca="true" t="shared" si="162" ref="G884:I885">G885</f>
        <v>3770</v>
      </c>
      <c r="H884" s="74">
        <f t="shared" si="162"/>
        <v>3770</v>
      </c>
      <c r="I884" s="74">
        <f t="shared" si="162"/>
        <v>0</v>
      </c>
    </row>
    <row r="885" spans="1:9" s="13" customFormat="1" ht="15.75">
      <c r="A885" s="110" t="s">
        <v>264</v>
      </c>
      <c r="B885" s="111"/>
      <c r="C885" s="174" t="s">
        <v>198</v>
      </c>
      <c r="D885" s="174" t="s">
        <v>197</v>
      </c>
      <c r="E885" s="200" t="s">
        <v>302</v>
      </c>
      <c r="F885" s="202" t="s">
        <v>216</v>
      </c>
      <c r="G885" s="74">
        <f t="shared" si="162"/>
        <v>3770</v>
      </c>
      <c r="H885" s="74">
        <f t="shared" si="162"/>
        <v>3770</v>
      </c>
      <c r="I885" s="74">
        <f t="shared" si="162"/>
        <v>0</v>
      </c>
    </row>
    <row r="886" spans="1:9" s="13" customFormat="1" ht="15.75">
      <c r="A886" s="136" t="s">
        <v>217</v>
      </c>
      <c r="B886" s="111"/>
      <c r="C886" s="174" t="s">
        <v>198</v>
      </c>
      <c r="D886" s="174" t="s">
        <v>197</v>
      </c>
      <c r="E886" s="200" t="s">
        <v>302</v>
      </c>
      <c r="F886" s="202" t="s">
        <v>215</v>
      </c>
      <c r="G886" s="103">
        <v>3770</v>
      </c>
      <c r="H886" s="103">
        <v>3770</v>
      </c>
      <c r="I886" s="74">
        <f>G886-H886</f>
        <v>0</v>
      </c>
    </row>
    <row r="887" spans="1:9" s="13" customFormat="1" ht="15.75">
      <c r="A887" s="194" t="s">
        <v>9</v>
      </c>
      <c r="B887" s="195"/>
      <c r="C887" s="232" t="s">
        <v>198</v>
      </c>
      <c r="D887" s="232" t="s">
        <v>181</v>
      </c>
      <c r="E887" s="244"/>
      <c r="F887" s="245"/>
      <c r="G887" s="100">
        <f>G888</f>
        <v>1347</v>
      </c>
      <c r="H887" s="100">
        <f>H888</f>
        <v>1347</v>
      </c>
      <c r="I887" s="100">
        <f>I888</f>
        <v>0</v>
      </c>
    </row>
    <row r="888" spans="1:9" s="13" customFormat="1" ht="15.75">
      <c r="A888" s="114" t="s">
        <v>267</v>
      </c>
      <c r="B888" s="107"/>
      <c r="C888" s="173" t="s">
        <v>198</v>
      </c>
      <c r="D888" s="173" t="s">
        <v>181</v>
      </c>
      <c r="E888" s="201" t="s">
        <v>20</v>
      </c>
      <c r="F888" s="203"/>
      <c r="G888" s="78">
        <f>G894+G889+G895</f>
        <v>1347</v>
      </c>
      <c r="H888" s="78">
        <f>H894+H889+H895</f>
        <v>1347</v>
      </c>
      <c r="I888" s="78">
        <f>I894+I889+I895</f>
        <v>0</v>
      </c>
    </row>
    <row r="889" spans="1:9" s="13" customFormat="1" ht="15.75">
      <c r="A889" s="112" t="s">
        <v>490</v>
      </c>
      <c r="B889" s="107"/>
      <c r="C889" s="174" t="s">
        <v>198</v>
      </c>
      <c r="D889" s="174" t="s">
        <v>181</v>
      </c>
      <c r="E889" s="200" t="s">
        <v>641</v>
      </c>
      <c r="F889" s="202"/>
      <c r="G889" s="74">
        <f aca="true" t="shared" si="163" ref="G889:I890">G890</f>
        <v>279.3</v>
      </c>
      <c r="H889" s="74">
        <f t="shared" si="163"/>
        <v>279.3</v>
      </c>
      <c r="I889" s="74">
        <f t="shared" si="163"/>
        <v>0</v>
      </c>
    </row>
    <row r="890" spans="1:9" s="13" customFormat="1" ht="15.75">
      <c r="A890" s="110" t="s">
        <v>264</v>
      </c>
      <c r="B890" s="107"/>
      <c r="C890" s="174" t="s">
        <v>198</v>
      </c>
      <c r="D890" s="174" t="s">
        <v>181</v>
      </c>
      <c r="E890" s="200" t="s">
        <v>641</v>
      </c>
      <c r="F890" s="202" t="s">
        <v>216</v>
      </c>
      <c r="G890" s="74">
        <f t="shared" si="163"/>
        <v>279.3</v>
      </c>
      <c r="H890" s="74">
        <f t="shared" si="163"/>
        <v>279.3</v>
      </c>
      <c r="I890" s="74">
        <f t="shared" si="163"/>
        <v>0</v>
      </c>
    </row>
    <row r="891" spans="1:9" s="13" customFormat="1" ht="15.75">
      <c r="A891" s="110" t="s">
        <v>217</v>
      </c>
      <c r="B891" s="107"/>
      <c r="C891" s="174" t="s">
        <v>198</v>
      </c>
      <c r="D891" s="174" t="s">
        <v>181</v>
      </c>
      <c r="E891" s="200" t="s">
        <v>641</v>
      </c>
      <c r="F891" s="202" t="s">
        <v>215</v>
      </c>
      <c r="G891" s="74">
        <v>279.3</v>
      </c>
      <c r="H891" s="74">
        <v>279.3</v>
      </c>
      <c r="I891" s="74">
        <f>G891-H891</f>
        <v>0</v>
      </c>
    </row>
    <row r="892" spans="1:9" s="13" customFormat="1" ht="15.75">
      <c r="A892" s="112" t="s">
        <v>8</v>
      </c>
      <c r="B892" s="107"/>
      <c r="C892" s="174" t="s">
        <v>198</v>
      </c>
      <c r="D892" s="174" t="s">
        <v>181</v>
      </c>
      <c r="E892" s="200" t="s">
        <v>476</v>
      </c>
      <c r="F892" s="202"/>
      <c r="G892" s="74">
        <f aca="true" t="shared" si="164" ref="G892:H896">G893</f>
        <v>267.7</v>
      </c>
      <c r="H892" s="74">
        <f t="shared" si="164"/>
        <v>267.7</v>
      </c>
      <c r="I892" s="74">
        <f>I893</f>
        <v>0</v>
      </c>
    </row>
    <row r="893" spans="1:9" s="13" customFormat="1" ht="15.75">
      <c r="A893" s="110" t="s">
        <v>264</v>
      </c>
      <c r="B893" s="107"/>
      <c r="C893" s="174" t="s">
        <v>198</v>
      </c>
      <c r="D893" s="174" t="s">
        <v>181</v>
      </c>
      <c r="E893" s="200" t="s">
        <v>476</v>
      </c>
      <c r="F893" s="202" t="s">
        <v>216</v>
      </c>
      <c r="G893" s="74">
        <f t="shared" si="164"/>
        <v>267.7</v>
      </c>
      <c r="H893" s="74">
        <f t="shared" si="164"/>
        <v>267.7</v>
      </c>
      <c r="I893" s="74">
        <f>I894</f>
        <v>0</v>
      </c>
    </row>
    <row r="894" spans="1:9" s="13" customFormat="1" ht="15.75">
      <c r="A894" s="110" t="s">
        <v>217</v>
      </c>
      <c r="B894" s="107"/>
      <c r="C894" s="174" t="s">
        <v>198</v>
      </c>
      <c r="D894" s="174" t="s">
        <v>181</v>
      </c>
      <c r="E894" s="200" t="s">
        <v>476</v>
      </c>
      <c r="F894" s="202" t="s">
        <v>215</v>
      </c>
      <c r="G894" s="74">
        <f>200-100+167.7</f>
        <v>267.7</v>
      </c>
      <c r="H894" s="74">
        <f>200-100+167.7</f>
        <v>267.7</v>
      </c>
      <c r="I894" s="74">
        <f>G894-H894</f>
        <v>0</v>
      </c>
    </row>
    <row r="895" spans="1:9" s="13" customFormat="1" ht="15.75">
      <c r="A895" s="112" t="s">
        <v>643</v>
      </c>
      <c r="B895" s="107"/>
      <c r="C895" s="174" t="s">
        <v>198</v>
      </c>
      <c r="D895" s="174" t="s">
        <v>181</v>
      </c>
      <c r="E895" s="200" t="s">
        <v>642</v>
      </c>
      <c r="F895" s="202"/>
      <c r="G895" s="74">
        <f t="shared" si="164"/>
        <v>800</v>
      </c>
      <c r="H895" s="74">
        <f t="shared" si="164"/>
        <v>800</v>
      </c>
      <c r="I895" s="74">
        <f>I896</f>
        <v>0</v>
      </c>
    </row>
    <row r="896" spans="1:9" s="13" customFormat="1" ht="15.75">
      <c r="A896" s="110" t="s">
        <v>264</v>
      </c>
      <c r="B896" s="107"/>
      <c r="C896" s="174" t="s">
        <v>198</v>
      </c>
      <c r="D896" s="174" t="s">
        <v>181</v>
      </c>
      <c r="E896" s="200" t="s">
        <v>642</v>
      </c>
      <c r="F896" s="202" t="s">
        <v>216</v>
      </c>
      <c r="G896" s="74">
        <f t="shared" si="164"/>
        <v>800</v>
      </c>
      <c r="H896" s="74">
        <f t="shared" si="164"/>
        <v>800</v>
      </c>
      <c r="I896" s="74">
        <f>I897</f>
        <v>0</v>
      </c>
    </row>
    <row r="897" spans="1:9" s="13" customFormat="1" ht="15.75">
      <c r="A897" s="110" t="s">
        <v>217</v>
      </c>
      <c r="B897" s="107"/>
      <c r="C897" s="174" t="s">
        <v>198</v>
      </c>
      <c r="D897" s="174" t="s">
        <v>181</v>
      </c>
      <c r="E897" s="200" t="s">
        <v>642</v>
      </c>
      <c r="F897" s="202" t="s">
        <v>215</v>
      </c>
      <c r="G897" s="74">
        <f>750+50</f>
        <v>800</v>
      </c>
      <c r="H897" s="74">
        <f>750+50</f>
        <v>800</v>
      </c>
      <c r="I897" s="74">
        <f>G897-H897</f>
        <v>0</v>
      </c>
    </row>
    <row r="898" spans="1:9" s="13" customFormat="1" ht="15.75">
      <c r="A898" s="194" t="s">
        <v>411</v>
      </c>
      <c r="B898" s="195"/>
      <c r="C898" s="232" t="s">
        <v>198</v>
      </c>
      <c r="D898" s="232" t="s">
        <v>198</v>
      </c>
      <c r="E898" s="244"/>
      <c r="F898" s="245"/>
      <c r="G898" s="100">
        <f>G903+G899</f>
        <v>26948.399999999998</v>
      </c>
      <c r="H898" s="100">
        <f>H903+H899</f>
        <v>27428.399999999998</v>
      </c>
      <c r="I898" s="100">
        <f>I903+I899</f>
        <v>-480</v>
      </c>
    </row>
    <row r="899" spans="1:9" s="13" customFormat="1" ht="15.75">
      <c r="A899" s="106" t="s">
        <v>420</v>
      </c>
      <c r="B899" s="107"/>
      <c r="C899" s="173" t="s">
        <v>198</v>
      </c>
      <c r="D899" s="173" t="s">
        <v>198</v>
      </c>
      <c r="E899" s="201" t="s">
        <v>419</v>
      </c>
      <c r="F899" s="203"/>
      <c r="G899" s="78">
        <f>G902</f>
        <v>8514.3</v>
      </c>
      <c r="H899" s="78">
        <f>H902</f>
        <v>8514.3</v>
      </c>
      <c r="I899" s="78">
        <f>I902</f>
        <v>0</v>
      </c>
    </row>
    <row r="900" spans="1:9" s="13" customFormat="1" ht="25.5">
      <c r="A900" s="117" t="s">
        <v>421</v>
      </c>
      <c r="B900" s="111"/>
      <c r="C900" s="174" t="s">
        <v>198</v>
      </c>
      <c r="D900" s="174" t="s">
        <v>198</v>
      </c>
      <c r="E900" s="200" t="s">
        <v>422</v>
      </c>
      <c r="F900" s="202"/>
      <c r="G900" s="74">
        <f aca="true" t="shared" si="165" ref="G900:I901">G901</f>
        <v>8514.3</v>
      </c>
      <c r="H900" s="74">
        <f t="shared" si="165"/>
        <v>8514.3</v>
      </c>
      <c r="I900" s="74">
        <f t="shared" si="165"/>
        <v>0</v>
      </c>
    </row>
    <row r="901" spans="1:9" s="13" customFormat="1" ht="15.75">
      <c r="A901" s="112" t="s">
        <v>203</v>
      </c>
      <c r="B901" s="107"/>
      <c r="C901" s="174" t="s">
        <v>198</v>
      </c>
      <c r="D901" s="174" t="s">
        <v>198</v>
      </c>
      <c r="E901" s="200" t="s">
        <v>422</v>
      </c>
      <c r="F901" s="202" t="s">
        <v>204</v>
      </c>
      <c r="G901" s="74">
        <f t="shared" si="165"/>
        <v>8514.3</v>
      </c>
      <c r="H901" s="74">
        <f t="shared" si="165"/>
        <v>8514.3</v>
      </c>
      <c r="I901" s="74">
        <f t="shared" si="165"/>
        <v>0</v>
      </c>
    </row>
    <row r="902" spans="1:9" s="13" customFormat="1" ht="15.75">
      <c r="A902" s="112" t="s">
        <v>234</v>
      </c>
      <c r="B902" s="107"/>
      <c r="C902" s="174" t="s">
        <v>198</v>
      </c>
      <c r="D902" s="174" t="s">
        <v>198</v>
      </c>
      <c r="E902" s="200" t="s">
        <v>422</v>
      </c>
      <c r="F902" s="202" t="s">
        <v>233</v>
      </c>
      <c r="G902" s="74">
        <v>8514.3</v>
      </c>
      <c r="H902" s="74">
        <v>8514.3</v>
      </c>
      <c r="I902" s="74">
        <f>G902-H902</f>
        <v>0</v>
      </c>
    </row>
    <row r="903" spans="1:9" s="13" customFormat="1" ht="15.75">
      <c r="A903" s="106" t="s">
        <v>322</v>
      </c>
      <c r="B903" s="107"/>
      <c r="C903" s="173" t="s">
        <v>198</v>
      </c>
      <c r="D903" s="173" t="s">
        <v>198</v>
      </c>
      <c r="E903" s="201" t="s">
        <v>412</v>
      </c>
      <c r="F903" s="203"/>
      <c r="G903" s="78">
        <f>G904</f>
        <v>18434.1</v>
      </c>
      <c r="H903" s="78">
        <f>H904</f>
        <v>18914.1</v>
      </c>
      <c r="I903" s="78">
        <f>I904</f>
        <v>-480</v>
      </c>
    </row>
    <row r="904" spans="1:9" s="13" customFormat="1" ht="15.75">
      <c r="A904" s="114" t="s">
        <v>354</v>
      </c>
      <c r="B904" s="107"/>
      <c r="C904" s="173" t="s">
        <v>198</v>
      </c>
      <c r="D904" s="173" t="s">
        <v>198</v>
      </c>
      <c r="E904" s="201" t="s">
        <v>341</v>
      </c>
      <c r="F904" s="203"/>
      <c r="G904" s="78">
        <f>G905+G908</f>
        <v>18434.1</v>
      </c>
      <c r="H904" s="78">
        <f>H905+H908</f>
        <v>18914.1</v>
      </c>
      <c r="I904" s="78">
        <f>I905+I908</f>
        <v>-480</v>
      </c>
    </row>
    <row r="905" spans="1:9" s="13" customFormat="1" ht="15.75">
      <c r="A905" s="112" t="s">
        <v>343</v>
      </c>
      <c r="B905" s="137"/>
      <c r="C905" s="174" t="s">
        <v>198</v>
      </c>
      <c r="D905" s="174" t="s">
        <v>198</v>
      </c>
      <c r="E905" s="200" t="s">
        <v>342</v>
      </c>
      <c r="F905" s="202"/>
      <c r="G905" s="74">
        <f>G906</f>
        <v>13496.5</v>
      </c>
      <c r="H905" s="74">
        <f>H906</f>
        <v>13976.5</v>
      </c>
      <c r="I905" s="74">
        <f>I906</f>
        <v>-480</v>
      </c>
    </row>
    <row r="906" spans="1:9" s="13" customFormat="1" ht="15.75">
      <c r="A906" s="128" t="s">
        <v>265</v>
      </c>
      <c r="B906" s="107"/>
      <c r="C906" s="174" t="s">
        <v>198</v>
      </c>
      <c r="D906" s="174" t="s">
        <v>198</v>
      </c>
      <c r="E906" s="200" t="s">
        <v>342</v>
      </c>
      <c r="F906" s="202" t="s">
        <v>229</v>
      </c>
      <c r="G906" s="74">
        <f aca="true" t="shared" si="166" ref="G906:H909">G907</f>
        <v>13496.5</v>
      </c>
      <c r="H906" s="74">
        <f t="shared" si="166"/>
        <v>13976.5</v>
      </c>
      <c r="I906" s="74">
        <f>I907</f>
        <v>-480</v>
      </c>
    </row>
    <row r="907" spans="1:9" s="13" customFormat="1" ht="15.75">
      <c r="A907" s="187" t="s">
        <v>207</v>
      </c>
      <c r="B907" s="107"/>
      <c r="C907" s="174" t="s">
        <v>198</v>
      </c>
      <c r="D907" s="174" t="s">
        <v>198</v>
      </c>
      <c r="E907" s="200" t="s">
        <v>342</v>
      </c>
      <c r="F907" s="202" t="s">
        <v>230</v>
      </c>
      <c r="G907" s="74">
        <f>13976.5-480</f>
        <v>13496.5</v>
      </c>
      <c r="H907" s="74">
        <v>13976.5</v>
      </c>
      <c r="I907" s="74">
        <f>G907-H907</f>
        <v>-480</v>
      </c>
    </row>
    <row r="908" spans="1:9" s="13" customFormat="1" ht="25.5">
      <c r="A908" s="112" t="s">
        <v>606</v>
      </c>
      <c r="B908" s="137"/>
      <c r="C908" s="174" t="s">
        <v>198</v>
      </c>
      <c r="D908" s="174" t="s">
        <v>198</v>
      </c>
      <c r="E908" s="200" t="s">
        <v>610</v>
      </c>
      <c r="F908" s="202"/>
      <c r="G908" s="74">
        <f t="shared" si="166"/>
        <v>4937.6</v>
      </c>
      <c r="H908" s="74">
        <f t="shared" si="166"/>
        <v>4937.6</v>
      </c>
      <c r="I908" s="74">
        <f>I909</f>
        <v>0</v>
      </c>
    </row>
    <row r="909" spans="1:9" s="13" customFormat="1" ht="15.75">
      <c r="A909" s="128" t="s">
        <v>265</v>
      </c>
      <c r="B909" s="107"/>
      <c r="C909" s="174" t="s">
        <v>198</v>
      </c>
      <c r="D909" s="174" t="s">
        <v>198</v>
      </c>
      <c r="E909" s="200" t="s">
        <v>610</v>
      </c>
      <c r="F909" s="202" t="s">
        <v>229</v>
      </c>
      <c r="G909" s="74">
        <f t="shared" si="166"/>
        <v>4937.6</v>
      </c>
      <c r="H909" s="74">
        <f t="shared" si="166"/>
        <v>4937.6</v>
      </c>
      <c r="I909" s="74">
        <f>I910</f>
        <v>0</v>
      </c>
    </row>
    <row r="910" spans="1:9" s="13" customFormat="1" ht="15.75">
      <c r="A910" s="187" t="s">
        <v>207</v>
      </c>
      <c r="B910" s="107"/>
      <c r="C910" s="174" t="s">
        <v>198</v>
      </c>
      <c r="D910" s="174" t="s">
        <v>198</v>
      </c>
      <c r="E910" s="200" t="s">
        <v>610</v>
      </c>
      <c r="F910" s="202" t="s">
        <v>230</v>
      </c>
      <c r="G910" s="74">
        <v>4937.6</v>
      </c>
      <c r="H910" s="74">
        <v>4937.6</v>
      </c>
      <c r="I910" s="74">
        <f>G910-H910</f>
        <v>0</v>
      </c>
    </row>
    <row r="911" spans="1:9" s="13" customFormat="1" ht="15.75">
      <c r="A911" s="106" t="s">
        <v>192</v>
      </c>
      <c r="B911" s="111"/>
      <c r="C911" s="173" t="s">
        <v>152</v>
      </c>
      <c r="D911" s="215" t="s">
        <v>201</v>
      </c>
      <c r="E911" s="214" t="s">
        <v>201</v>
      </c>
      <c r="F911" s="215" t="s">
        <v>201</v>
      </c>
      <c r="G911" s="78">
        <f aca="true" t="shared" si="167" ref="G911:H918">G912</f>
        <v>152072.6</v>
      </c>
      <c r="H911" s="78">
        <f t="shared" si="167"/>
        <v>151792.6</v>
      </c>
      <c r="I911" s="78">
        <f aca="true" t="shared" si="168" ref="I911:I918">I912</f>
        <v>279.9999999999999</v>
      </c>
    </row>
    <row r="912" spans="1:9" s="13" customFormat="1" ht="15.75">
      <c r="A912" s="145" t="s">
        <v>193</v>
      </c>
      <c r="B912" s="107"/>
      <c r="C912" s="173" t="s">
        <v>152</v>
      </c>
      <c r="D912" s="173" t="s">
        <v>197</v>
      </c>
      <c r="E912" s="201"/>
      <c r="F912" s="203"/>
      <c r="G912" s="78">
        <f>G913+G920</f>
        <v>152072.6</v>
      </c>
      <c r="H912" s="78">
        <f>H913+H920</f>
        <v>151792.6</v>
      </c>
      <c r="I912" s="78">
        <f>I913+I920</f>
        <v>279.9999999999999</v>
      </c>
    </row>
    <row r="913" spans="1:9" s="13" customFormat="1" ht="15.75">
      <c r="A913" s="134" t="s">
        <v>409</v>
      </c>
      <c r="B913" s="115"/>
      <c r="C913" s="173" t="s">
        <v>152</v>
      </c>
      <c r="D913" s="173" t="s">
        <v>197</v>
      </c>
      <c r="E913" s="201" t="s">
        <v>303</v>
      </c>
      <c r="F913" s="203"/>
      <c r="G913" s="78">
        <f>G914+G917</f>
        <v>1400.6</v>
      </c>
      <c r="H913" s="78">
        <f>H914+H917</f>
        <v>1120.6</v>
      </c>
      <c r="I913" s="78">
        <f>I914+I917</f>
        <v>279.9999999999999</v>
      </c>
    </row>
    <row r="914" spans="1:9" s="13" customFormat="1" ht="25.5">
      <c r="A914" s="144" t="s">
        <v>614</v>
      </c>
      <c r="B914" s="113"/>
      <c r="C914" s="174" t="s">
        <v>152</v>
      </c>
      <c r="D914" s="174" t="s">
        <v>197</v>
      </c>
      <c r="E914" s="200" t="s">
        <v>613</v>
      </c>
      <c r="F914" s="202"/>
      <c r="G914" s="74">
        <f t="shared" si="167"/>
        <v>1250.6</v>
      </c>
      <c r="H914" s="74">
        <f t="shared" si="167"/>
        <v>970.6</v>
      </c>
      <c r="I914" s="74">
        <f t="shared" si="168"/>
        <v>279.9999999999999</v>
      </c>
    </row>
    <row r="915" spans="1:9" s="13" customFormat="1" ht="15.75">
      <c r="A915" s="128" t="s">
        <v>265</v>
      </c>
      <c r="B915" s="113"/>
      <c r="C915" s="174" t="s">
        <v>152</v>
      </c>
      <c r="D915" s="174" t="s">
        <v>197</v>
      </c>
      <c r="E915" s="200" t="s">
        <v>613</v>
      </c>
      <c r="F915" s="202" t="s">
        <v>229</v>
      </c>
      <c r="G915" s="74">
        <f t="shared" si="167"/>
        <v>1250.6</v>
      </c>
      <c r="H915" s="74">
        <f t="shared" si="167"/>
        <v>970.6</v>
      </c>
      <c r="I915" s="74">
        <f t="shared" si="168"/>
        <v>279.9999999999999</v>
      </c>
    </row>
    <row r="916" spans="1:9" s="13" customFormat="1" ht="15.75">
      <c r="A916" s="187" t="s">
        <v>207</v>
      </c>
      <c r="B916" s="113"/>
      <c r="C916" s="174" t="s">
        <v>152</v>
      </c>
      <c r="D916" s="174" t="s">
        <v>197</v>
      </c>
      <c r="E916" s="200" t="s">
        <v>613</v>
      </c>
      <c r="F916" s="202" t="s">
        <v>230</v>
      </c>
      <c r="G916" s="74">
        <f>752.6+218+280</f>
        <v>1250.6</v>
      </c>
      <c r="H916" s="74">
        <f>752.6+218</f>
        <v>970.6</v>
      </c>
      <c r="I916" s="74">
        <f>G916-H916</f>
        <v>279.9999999999999</v>
      </c>
    </row>
    <row r="917" spans="1:9" s="13" customFormat="1" ht="15.75">
      <c r="A917" s="144" t="s">
        <v>463</v>
      </c>
      <c r="B917" s="113"/>
      <c r="C917" s="174" t="s">
        <v>152</v>
      </c>
      <c r="D917" s="174" t="s">
        <v>197</v>
      </c>
      <c r="E917" s="200" t="s">
        <v>462</v>
      </c>
      <c r="F917" s="202"/>
      <c r="G917" s="74">
        <f t="shared" si="167"/>
        <v>150</v>
      </c>
      <c r="H917" s="74">
        <f t="shared" si="167"/>
        <v>150</v>
      </c>
      <c r="I917" s="74">
        <f t="shared" si="168"/>
        <v>0</v>
      </c>
    </row>
    <row r="918" spans="1:9" s="13" customFormat="1" ht="15.75">
      <c r="A918" s="128" t="s">
        <v>265</v>
      </c>
      <c r="B918" s="113"/>
      <c r="C918" s="174" t="s">
        <v>152</v>
      </c>
      <c r="D918" s="174" t="s">
        <v>197</v>
      </c>
      <c r="E918" s="200" t="s">
        <v>462</v>
      </c>
      <c r="F918" s="202" t="s">
        <v>229</v>
      </c>
      <c r="G918" s="74">
        <f t="shared" si="167"/>
        <v>150</v>
      </c>
      <c r="H918" s="74">
        <f t="shared" si="167"/>
        <v>150</v>
      </c>
      <c r="I918" s="74">
        <f t="shared" si="168"/>
        <v>0</v>
      </c>
    </row>
    <row r="919" spans="1:9" s="13" customFormat="1" ht="15.75">
      <c r="A919" s="187" t="s">
        <v>207</v>
      </c>
      <c r="B919" s="113"/>
      <c r="C919" s="174" t="s">
        <v>152</v>
      </c>
      <c r="D919" s="174" t="s">
        <v>197</v>
      </c>
      <c r="E919" s="200" t="s">
        <v>462</v>
      </c>
      <c r="F919" s="202" t="s">
        <v>230</v>
      </c>
      <c r="G919" s="74">
        <f>1542-173-400-50-100-774+105</f>
        <v>150</v>
      </c>
      <c r="H919" s="74">
        <f>1542-173-400-50-100-774+105</f>
        <v>150</v>
      </c>
      <c r="I919" s="74">
        <f>G919-H919</f>
        <v>0</v>
      </c>
    </row>
    <row r="920" spans="1:9" s="13" customFormat="1" ht="15.75">
      <c r="A920" s="106" t="s">
        <v>322</v>
      </c>
      <c r="B920" s="107"/>
      <c r="C920" s="173" t="s">
        <v>152</v>
      </c>
      <c r="D920" s="173" t="s">
        <v>197</v>
      </c>
      <c r="E920" s="201" t="s">
        <v>412</v>
      </c>
      <c r="F920" s="203"/>
      <c r="G920" s="78">
        <f>G921</f>
        <v>150672</v>
      </c>
      <c r="H920" s="78">
        <f>H927</f>
        <v>150672</v>
      </c>
      <c r="I920" s="78">
        <f>I921</f>
        <v>0</v>
      </c>
    </row>
    <row r="921" spans="1:9" s="13" customFormat="1" ht="15.75">
      <c r="A921" s="114" t="s">
        <v>355</v>
      </c>
      <c r="B921" s="107"/>
      <c r="C921" s="173" t="s">
        <v>152</v>
      </c>
      <c r="D921" s="173" t="s">
        <v>197</v>
      </c>
      <c r="E921" s="201" t="s">
        <v>344</v>
      </c>
      <c r="F921" s="203"/>
      <c r="G921" s="78">
        <f>G925+G922</f>
        <v>150672</v>
      </c>
      <c r="H921" s="78">
        <f>H925</f>
        <v>150672</v>
      </c>
      <c r="I921" s="362">
        <f>I925+I922</f>
        <v>0</v>
      </c>
    </row>
    <row r="922" spans="1:9" s="13" customFormat="1" ht="28.5" customHeight="1">
      <c r="A922" s="112" t="s">
        <v>702</v>
      </c>
      <c r="B922" s="137"/>
      <c r="C922" s="174" t="s">
        <v>152</v>
      </c>
      <c r="D922" s="174" t="s">
        <v>197</v>
      </c>
      <c r="E922" s="200" t="s">
        <v>701</v>
      </c>
      <c r="F922" s="202"/>
      <c r="G922" s="74">
        <f aca="true" t="shared" si="169" ref="G922:I923">G923</f>
        <v>24005.9</v>
      </c>
      <c r="H922" s="74">
        <f t="shared" si="169"/>
        <v>0</v>
      </c>
      <c r="I922" s="74">
        <f t="shared" si="169"/>
        <v>24005.9</v>
      </c>
    </row>
    <row r="923" spans="1:9" s="13" customFormat="1" ht="15.75">
      <c r="A923" s="128" t="s">
        <v>265</v>
      </c>
      <c r="B923" s="107"/>
      <c r="C923" s="174" t="s">
        <v>152</v>
      </c>
      <c r="D923" s="174" t="s">
        <v>197</v>
      </c>
      <c r="E923" s="200" t="s">
        <v>701</v>
      </c>
      <c r="F923" s="202" t="s">
        <v>229</v>
      </c>
      <c r="G923" s="74">
        <f t="shared" si="169"/>
        <v>24005.9</v>
      </c>
      <c r="H923" s="74">
        <f t="shared" si="169"/>
        <v>0</v>
      </c>
      <c r="I923" s="74">
        <f t="shared" si="169"/>
        <v>24005.9</v>
      </c>
    </row>
    <row r="924" spans="1:9" s="13" customFormat="1" ht="15.75">
      <c r="A924" s="187" t="s">
        <v>207</v>
      </c>
      <c r="B924" s="107"/>
      <c r="C924" s="174" t="s">
        <v>152</v>
      </c>
      <c r="D924" s="174" t="s">
        <v>197</v>
      </c>
      <c r="E924" s="200" t="s">
        <v>701</v>
      </c>
      <c r="F924" s="202" t="s">
        <v>230</v>
      </c>
      <c r="G924" s="74">
        <v>24005.9</v>
      </c>
      <c r="H924" s="74">
        <v>0</v>
      </c>
      <c r="I924" s="74">
        <f>G924-H924</f>
        <v>24005.9</v>
      </c>
    </row>
    <row r="925" spans="1:9" s="13" customFormat="1" ht="25.5">
      <c r="A925" s="112" t="s">
        <v>606</v>
      </c>
      <c r="B925" s="137"/>
      <c r="C925" s="174" t="s">
        <v>152</v>
      </c>
      <c r="D925" s="174" t="s">
        <v>197</v>
      </c>
      <c r="E925" s="200" t="s">
        <v>605</v>
      </c>
      <c r="F925" s="202"/>
      <c r="G925" s="74">
        <f aca="true" t="shared" si="170" ref="G925:I926">G926</f>
        <v>126666.09999999999</v>
      </c>
      <c r="H925" s="74">
        <f t="shared" si="170"/>
        <v>150672</v>
      </c>
      <c r="I925" s="74">
        <f t="shared" si="170"/>
        <v>-24005.90000000001</v>
      </c>
    </row>
    <row r="926" spans="1:9" s="13" customFormat="1" ht="15.75">
      <c r="A926" s="128" t="s">
        <v>265</v>
      </c>
      <c r="B926" s="107"/>
      <c r="C926" s="174" t="s">
        <v>152</v>
      </c>
      <c r="D926" s="174" t="s">
        <v>197</v>
      </c>
      <c r="E926" s="200" t="s">
        <v>605</v>
      </c>
      <c r="F926" s="202" t="s">
        <v>229</v>
      </c>
      <c r="G926" s="74">
        <f t="shared" si="170"/>
        <v>126666.09999999999</v>
      </c>
      <c r="H926" s="74">
        <f t="shared" si="170"/>
        <v>150672</v>
      </c>
      <c r="I926" s="74">
        <f t="shared" si="170"/>
        <v>-24005.90000000001</v>
      </c>
    </row>
    <row r="927" spans="1:9" s="13" customFormat="1" ht="15.75">
      <c r="A927" s="187" t="s">
        <v>207</v>
      </c>
      <c r="B927" s="107"/>
      <c r="C927" s="174" t="s">
        <v>152</v>
      </c>
      <c r="D927" s="174" t="s">
        <v>197</v>
      </c>
      <c r="E927" s="200" t="s">
        <v>605</v>
      </c>
      <c r="F927" s="202" t="s">
        <v>230</v>
      </c>
      <c r="G927" s="74">
        <f>148271.4-21605.3</f>
        <v>126666.09999999999</v>
      </c>
      <c r="H927" s="74">
        <v>150672</v>
      </c>
      <c r="I927" s="74">
        <f>G927-H927</f>
        <v>-24005.90000000001</v>
      </c>
    </row>
    <row r="928" spans="1:9" s="13" customFormat="1" ht="15.75">
      <c r="A928" s="106" t="s">
        <v>659</v>
      </c>
      <c r="B928" s="107"/>
      <c r="C928" s="173" t="s">
        <v>150</v>
      </c>
      <c r="D928" s="173"/>
      <c r="E928" s="201"/>
      <c r="F928" s="203"/>
      <c r="G928" s="78">
        <f aca="true" t="shared" si="171" ref="G928:I935">G929</f>
        <v>90000</v>
      </c>
      <c r="H928" s="78">
        <f t="shared" si="171"/>
        <v>90000</v>
      </c>
      <c r="I928" s="78">
        <f t="shared" si="171"/>
        <v>0</v>
      </c>
    </row>
    <row r="929" spans="1:9" s="13" customFormat="1" ht="15.75">
      <c r="A929" s="106" t="s">
        <v>147</v>
      </c>
      <c r="B929" s="107"/>
      <c r="C929" s="173" t="s">
        <v>150</v>
      </c>
      <c r="D929" s="173" t="s">
        <v>181</v>
      </c>
      <c r="E929" s="201"/>
      <c r="F929" s="203"/>
      <c r="G929" s="78">
        <f t="shared" si="171"/>
        <v>90000</v>
      </c>
      <c r="H929" s="78">
        <f t="shared" si="171"/>
        <v>90000</v>
      </c>
      <c r="I929" s="78">
        <f t="shared" si="171"/>
        <v>0</v>
      </c>
    </row>
    <row r="930" spans="1:9" s="13" customFormat="1" ht="15.75">
      <c r="A930" s="145" t="s">
        <v>402</v>
      </c>
      <c r="B930" s="107"/>
      <c r="C930" s="173" t="s">
        <v>150</v>
      </c>
      <c r="D930" s="173" t="s">
        <v>181</v>
      </c>
      <c r="E930" s="201" t="s">
        <v>403</v>
      </c>
      <c r="F930" s="203"/>
      <c r="G930" s="78">
        <f>G931+G934</f>
        <v>90000</v>
      </c>
      <c r="H930" s="78">
        <f>H931+H934</f>
        <v>90000</v>
      </c>
      <c r="I930" s="78">
        <f>I931+I934</f>
        <v>0</v>
      </c>
    </row>
    <row r="931" spans="1:9" s="13" customFormat="1" ht="38.25">
      <c r="A931" s="144" t="s">
        <v>406</v>
      </c>
      <c r="B931" s="191"/>
      <c r="C931" s="174" t="s">
        <v>150</v>
      </c>
      <c r="D931" s="174" t="s">
        <v>181</v>
      </c>
      <c r="E931" s="200" t="s">
        <v>404</v>
      </c>
      <c r="F931" s="203"/>
      <c r="G931" s="74">
        <f t="shared" si="171"/>
        <v>88200</v>
      </c>
      <c r="H931" s="74">
        <f t="shared" si="171"/>
        <v>88200</v>
      </c>
      <c r="I931" s="74">
        <f t="shared" si="171"/>
        <v>0</v>
      </c>
    </row>
    <row r="932" spans="1:9" s="13" customFormat="1" ht="15.75">
      <c r="A932" s="128" t="s">
        <v>102</v>
      </c>
      <c r="B932" s="192"/>
      <c r="C932" s="174" t="s">
        <v>150</v>
      </c>
      <c r="D932" s="174" t="s">
        <v>181</v>
      </c>
      <c r="E932" s="200" t="s">
        <v>404</v>
      </c>
      <c r="F932" s="202" t="s">
        <v>98</v>
      </c>
      <c r="G932" s="74">
        <f t="shared" si="171"/>
        <v>88200</v>
      </c>
      <c r="H932" s="74">
        <f t="shared" si="171"/>
        <v>88200</v>
      </c>
      <c r="I932" s="74">
        <f t="shared" si="171"/>
        <v>0</v>
      </c>
    </row>
    <row r="933" spans="1:9" s="13" customFormat="1" ht="15.75">
      <c r="A933" s="112" t="s">
        <v>97</v>
      </c>
      <c r="B933" s="192"/>
      <c r="C933" s="174" t="s">
        <v>150</v>
      </c>
      <c r="D933" s="174" t="s">
        <v>181</v>
      </c>
      <c r="E933" s="200" t="s">
        <v>404</v>
      </c>
      <c r="F933" s="202" t="s">
        <v>99</v>
      </c>
      <c r="G933" s="102">
        <v>88200</v>
      </c>
      <c r="H933" s="102">
        <v>88200</v>
      </c>
      <c r="I933" s="74">
        <f>G933-H933</f>
        <v>0</v>
      </c>
    </row>
    <row r="934" spans="1:9" s="13" customFormat="1" ht="38.25">
      <c r="A934" s="144" t="s">
        <v>407</v>
      </c>
      <c r="B934" s="191"/>
      <c r="C934" s="174" t="s">
        <v>150</v>
      </c>
      <c r="D934" s="174" t="s">
        <v>181</v>
      </c>
      <c r="E934" s="200" t="s">
        <v>405</v>
      </c>
      <c r="F934" s="203"/>
      <c r="G934" s="74">
        <f t="shared" si="171"/>
        <v>1800</v>
      </c>
      <c r="H934" s="74">
        <f t="shared" si="171"/>
        <v>1800</v>
      </c>
      <c r="I934" s="74">
        <f t="shared" si="171"/>
        <v>0</v>
      </c>
    </row>
    <row r="935" spans="1:9" s="13" customFormat="1" ht="15.75">
      <c r="A935" s="128" t="s">
        <v>102</v>
      </c>
      <c r="B935" s="192"/>
      <c r="C935" s="174" t="s">
        <v>150</v>
      </c>
      <c r="D935" s="174" t="s">
        <v>181</v>
      </c>
      <c r="E935" s="200" t="s">
        <v>405</v>
      </c>
      <c r="F935" s="202" t="s">
        <v>98</v>
      </c>
      <c r="G935" s="74">
        <f t="shared" si="171"/>
        <v>1800</v>
      </c>
      <c r="H935" s="74">
        <f t="shared" si="171"/>
        <v>1800</v>
      </c>
      <c r="I935" s="74">
        <f t="shared" si="171"/>
        <v>0</v>
      </c>
    </row>
    <row r="936" spans="1:9" s="13" customFormat="1" ht="15.75">
      <c r="A936" s="112" t="s">
        <v>97</v>
      </c>
      <c r="B936" s="192"/>
      <c r="C936" s="174" t="s">
        <v>150</v>
      </c>
      <c r="D936" s="174" t="s">
        <v>181</v>
      </c>
      <c r="E936" s="200" t="s">
        <v>405</v>
      </c>
      <c r="F936" s="202" t="s">
        <v>99</v>
      </c>
      <c r="G936" s="102">
        <v>1800</v>
      </c>
      <c r="H936" s="102">
        <v>1800</v>
      </c>
      <c r="I936" s="74">
        <f>G936-H936</f>
        <v>0</v>
      </c>
    </row>
    <row r="937" spans="1:9" s="13" customFormat="1" ht="15.75">
      <c r="A937" s="106" t="s">
        <v>186</v>
      </c>
      <c r="B937" s="107"/>
      <c r="C937" s="173" t="s">
        <v>179</v>
      </c>
      <c r="D937" s="173"/>
      <c r="E937" s="201"/>
      <c r="F937" s="203"/>
      <c r="G937" s="78">
        <f aca="true" t="shared" si="172" ref="G937:H942">G938</f>
        <v>5841.2</v>
      </c>
      <c r="H937" s="78">
        <f t="shared" si="172"/>
        <v>5841.2</v>
      </c>
      <c r="I937" s="78">
        <f aca="true" t="shared" si="173" ref="I937:I942">I938</f>
        <v>0</v>
      </c>
    </row>
    <row r="938" spans="1:9" s="13" customFormat="1" ht="15.75">
      <c r="A938" s="106" t="s">
        <v>213</v>
      </c>
      <c r="B938" s="107"/>
      <c r="C938" s="173" t="s">
        <v>179</v>
      </c>
      <c r="D938" s="173" t="s">
        <v>197</v>
      </c>
      <c r="E938" s="201"/>
      <c r="F938" s="203"/>
      <c r="G938" s="78">
        <f t="shared" si="172"/>
        <v>5841.2</v>
      </c>
      <c r="H938" s="78">
        <f t="shared" si="172"/>
        <v>5841.2</v>
      </c>
      <c r="I938" s="78">
        <f t="shared" si="173"/>
        <v>0</v>
      </c>
    </row>
    <row r="939" spans="1:9" s="13" customFormat="1" ht="26.25">
      <c r="A939" s="145" t="s">
        <v>436</v>
      </c>
      <c r="B939" s="107"/>
      <c r="C939" s="173" t="s">
        <v>179</v>
      </c>
      <c r="D939" s="173" t="s">
        <v>197</v>
      </c>
      <c r="E939" s="201" t="s">
        <v>44</v>
      </c>
      <c r="F939" s="203"/>
      <c r="G939" s="78">
        <f t="shared" si="172"/>
        <v>5841.2</v>
      </c>
      <c r="H939" s="78">
        <f t="shared" si="172"/>
        <v>5841.2</v>
      </c>
      <c r="I939" s="78">
        <f t="shared" si="173"/>
        <v>0</v>
      </c>
    </row>
    <row r="940" spans="1:9" s="13" customFormat="1" ht="15.75">
      <c r="A940" s="185" t="s">
        <v>447</v>
      </c>
      <c r="B940" s="107"/>
      <c r="C940" s="173" t="s">
        <v>179</v>
      </c>
      <c r="D940" s="173" t="s">
        <v>197</v>
      </c>
      <c r="E940" s="201" t="s">
        <v>263</v>
      </c>
      <c r="F940" s="202"/>
      <c r="G940" s="74">
        <f t="shared" si="172"/>
        <v>5841.2</v>
      </c>
      <c r="H940" s="74">
        <f t="shared" si="172"/>
        <v>5841.2</v>
      </c>
      <c r="I940" s="74">
        <f t="shared" si="173"/>
        <v>0</v>
      </c>
    </row>
    <row r="941" spans="1:9" s="13" customFormat="1" ht="15.75">
      <c r="A941" s="196" t="s">
        <v>391</v>
      </c>
      <c r="B941" s="197"/>
      <c r="C941" s="174" t="s">
        <v>179</v>
      </c>
      <c r="D941" s="174" t="s">
        <v>197</v>
      </c>
      <c r="E941" s="200" t="s">
        <v>658</v>
      </c>
      <c r="F941" s="202"/>
      <c r="G941" s="74">
        <f t="shared" si="172"/>
        <v>5841.2</v>
      </c>
      <c r="H941" s="74">
        <f t="shared" si="172"/>
        <v>5841.2</v>
      </c>
      <c r="I941" s="74">
        <f t="shared" si="173"/>
        <v>0</v>
      </c>
    </row>
    <row r="942" spans="1:9" ht="15.75">
      <c r="A942" s="128" t="s">
        <v>265</v>
      </c>
      <c r="B942" s="111"/>
      <c r="C942" s="174" t="s">
        <v>179</v>
      </c>
      <c r="D942" s="174" t="s">
        <v>197</v>
      </c>
      <c r="E942" s="200" t="s">
        <v>658</v>
      </c>
      <c r="F942" s="202" t="s">
        <v>229</v>
      </c>
      <c r="G942" s="74">
        <f t="shared" si="172"/>
        <v>5841.2</v>
      </c>
      <c r="H942" s="74">
        <f t="shared" si="172"/>
        <v>5841.2</v>
      </c>
      <c r="I942" s="74">
        <f t="shared" si="173"/>
        <v>0</v>
      </c>
    </row>
    <row r="943" spans="1:9" ht="15.75">
      <c r="A943" s="187" t="s">
        <v>207</v>
      </c>
      <c r="B943" s="113"/>
      <c r="C943" s="174" t="s">
        <v>179</v>
      </c>
      <c r="D943" s="174" t="s">
        <v>197</v>
      </c>
      <c r="E943" s="200" t="s">
        <v>658</v>
      </c>
      <c r="F943" s="202" t="s">
        <v>230</v>
      </c>
      <c r="G943" s="74">
        <f>2500+1560+1781.2</f>
        <v>5841.2</v>
      </c>
      <c r="H943" s="74">
        <f>2500+1560+1781.2</f>
        <v>5841.2</v>
      </c>
      <c r="I943" s="74">
        <f>G943-H943</f>
        <v>0</v>
      </c>
    </row>
    <row r="944" spans="1:9" ht="15.75">
      <c r="A944" s="198" t="s">
        <v>214</v>
      </c>
      <c r="B944" s="199"/>
      <c r="C944" s="199"/>
      <c r="D944" s="199"/>
      <c r="E944" s="199"/>
      <c r="F944" s="199"/>
      <c r="G944" s="246">
        <f>G843+G826+G761+G506+G258+G244+G179+G7+G741</f>
        <v>1591752.1649999998</v>
      </c>
      <c r="H944" s="246">
        <f>H843+H826+H761+H506+H258+H244+H179+H7+H741</f>
        <v>1591161.872</v>
      </c>
      <c r="I944" s="246">
        <f>I843+I826+I761+I506+I258+I244+I179+I7+I741</f>
        <v>590.2929999999978</v>
      </c>
    </row>
    <row r="945" spans="1:9" ht="15.75">
      <c r="A945" s="1"/>
      <c r="B945" s="349"/>
      <c r="C945" s="349"/>
      <c r="D945" s="349"/>
      <c r="E945" s="349"/>
      <c r="F945" s="349"/>
      <c r="G945" s="79"/>
      <c r="H945" s="79"/>
      <c r="I945" s="79"/>
    </row>
    <row r="946" spans="1:9" ht="15.75">
      <c r="A946" s="1"/>
      <c r="B946" s="81"/>
      <c r="C946" s="81"/>
      <c r="D946" s="81"/>
      <c r="E946" s="349"/>
      <c r="F946" s="349"/>
      <c r="G946" s="352">
        <f>1612957.5+400+200000</f>
        <v>1813357.5</v>
      </c>
      <c r="H946" s="79"/>
      <c r="I946" s="79"/>
    </row>
    <row r="947" spans="1:9" ht="15.75">
      <c r="A947" s="1"/>
      <c r="B947" s="81"/>
      <c r="C947" s="81"/>
      <c r="D947" s="81"/>
      <c r="E947" s="349"/>
      <c r="F947" s="349"/>
      <c r="G947" s="352">
        <f>G946-G944</f>
        <v>221605.3350000002</v>
      </c>
      <c r="H947" s="352"/>
      <c r="I947" s="352"/>
    </row>
    <row r="948" spans="1:9" ht="15.75">
      <c r="A948" s="1"/>
      <c r="B948" s="81"/>
      <c r="C948" s="81"/>
      <c r="D948" s="81"/>
      <c r="E948" s="349"/>
      <c r="F948" s="349"/>
      <c r="G948" s="352"/>
      <c r="H948" s="352"/>
      <c r="I948" s="352"/>
    </row>
    <row r="949" spans="1:9" ht="15.75">
      <c r="A949" s="1"/>
      <c r="B949" s="81"/>
      <c r="C949" s="81"/>
      <c r="D949" s="81"/>
      <c r="E949" s="349"/>
      <c r="F949" s="349"/>
      <c r="G949" s="352"/>
      <c r="H949" s="352"/>
      <c r="I949" s="352"/>
    </row>
    <row r="950" spans="1:9" ht="15.75">
      <c r="A950" s="1"/>
      <c r="B950" s="81"/>
      <c r="C950" s="81"/>
      <c r="D950" s="81"/>
      <c r="E950" s="349"/>
      <c r="F950" s="349"/>
      <c r="G950" s="352"/>
      <c r="H950" s="352"/>
      <c r="I950" s="352"/>
    </row>
    <row r="951" spans="1:9" ht="15.75">
      <c r="A951" s="1"/>
      <c r="B951" s="81"/>
      <c r="C951" s="81"/>
      <c r="D951" s="81"/>
      <c r="E951" s="349"/>
      <c r="F951" s="349"/>
      <c r="G951" s="352"/>
      <c r="H951" s="352"/>
      <c r="I951" s="352"/>
    </row>
    <row r="952" spans="1:9" ht="15.75">
      <c r="A952" s="1"/>
      <c r="B952" s="81"/>
      <c r="C952" s="81"/>
      <c r="D952" s="81"/>
      <c r="E952" s="349"/>
      <c r="F952" s="349"/>
      <c r="G952" s="352"/>
      <c r="H952" s="352"/>
      <c r="I952" s="352"/>
    </row>
    <row r="953" spans="1:9" ht="15.75">
      <c r="A953" s="1"/>
      <c r="B953" s="81"/>
      <c r="C953" s="81"/>
      <c r="D953" s="81"/>
      <c r="E953" s="349"/>
      <c r="F953" s="349"/>
      <c r="G953" s="352"/>
      <c r="H953" s="352"/>
      <c r="I953" s="352"/>
    </row>
    <row r="954" spans="1:9" ht="15.75">
      <c r="A954" s="1"/>
      <c r="B954" s="81"/>
      <c r="C954" s="81"/>
      <c r="D954" s="81"/>
      <c r="E954" s="349"/>
      <c r="F954" s="349"/>
      <c r="G954" s="352"/>
      <c r="H954" s="352"/>
      <c r="I954" s="352"/>
    </row>
    <row r="955" spans="1:9" ht="15.75">
      <c r="A955" s="1"/>
      <c r="B955" s="81"/>
      <c r="C955" s="81"/>
      <c r="D955" s="81"/>
      <c r="E955" s="349"/>
      <c r="F955" s="349"/>
      <c r="G955" s="352"/>
      <c r="H955" s="352"/>
      <c r="I955" s="352"/>
    </row>
    <row r="956" spans="1:9" ht="15.75">
      <c r="A956" s="1"/>
      <c r="B956" s="81"/>
      <c r="C956" s="81"/>
      <c r="D956" s="81"/>
      <c r="E956" s="349"/>
      <c r="F956" s="349"/>
      <c r="G956" s="352"/>
      <c r="H956" s="352"/>
      <c r="I956" s="352"/>
    </row>
    <row r="957" spans="1:9" ht="15.75">
      <c r="A957" s="1"/>
      <c r="B957" s="81"/>
      <c r="C957" s="81"/>
      <c r="D957" s="81"/>
      <c r="E957" s="349"/>
      <c r="F957" s="349"/>
      <c r="G957" s="352"/>
      <c r="H957" s="352"/>
      <c r="I957" s="352"/>
    </row>
    <row r="958" spans="1:9" ht="15.75">
      <c r="A958" s="1"/>
      <c r="B958" s="81"/>
      <c r="C958" s="81"/>
      <c r="D958" s="81"/>
      <c r="E958" s="349"/>
      <c r="F958" s="349"/>
      <c r="G958" s="352"/>
      <c r="H958" s="352"/>
      <c r="I958" s="352"/>
    </row>
    <row r="959" spans="1:9" ht="15.75">
      <c r="A959" s="1"/>
      <c r="B959" s="81"/>
      <c r="C959" s="81"/>
      <c r="D959" s="81"/>
      <c r="E959" s="349"/>
      <c r="F959" s="349"/>
      <c r="G959" s="352"/>
      <c r="H959" s="352"/>
      <c r="I959" s="352"/>
    </row>
    <row r="960" spans="1:9" ht="15.75">
      <c r="A960" s="1"/>
      <c r="B960" s="81"/>
      <c r="C960" s="81"/>
      <c r="D960" s="81"/>
      <c r="E960" s="349"/>
      <c r="F960" s="349"/>
      <c r="G960" s="352"/>
      <c r="H960" s="352"/>
      <c r="I960" s="352"/>
    </row>
    <row r="961" spans="1:9" ht="15.75">
      <c r="A961" s="1"/>
      <c r="B961" s="81"/>
      <c r="C961" s="81"/>
      <c r="D961" s="81"/>
      <c r="E961" s="349"/>
      <c r="F961" s="349"/>
      <c r="G961" s="352"/>
      <c r="H961" s="352"/>
      <c r="I961" s="352"/>
    </row>
    <row r="962" spans="1:9" ht="15.75">
      <c r="A962" s="1"/>
      <c r="B962" s="81"/>
      <c r="C962" s="81"/>
      <c r="D962" s="81"/>
      <c r="E962" s="349"/>
      <c r="F962" s="349"/>
      <c r="G962" s="79"/>
      <c r="H962" s="79"/>
      <c r="I962" s="79"/>
    </row>
    <row r="963" spans="1:9" ht="15.75">
      <c r="A963" s="1"/>
      <c r="B963" s="81"/>
      <c r="C963" s="81"/>
      <c r="D963" s="81"/>
      <c r="E963" s="349"/>
      <c r="F963" s="349"/>
      <c r="G963" s="79"/>
      <c r="H963" s="79"/>
      <c r="I963" s="79"/>
    </row>
    <row r="964" spans="1:9" ht="15.75">
      <c r="A964" s="1"/>
      <c r="B964" s="81"/>
      <c r="C964" s="81"/>
      <c r="D964" s="81"/>
      <c r="E964" s="349"/>
      <c r="F964" s="349"/>
      <c r="G964" s="79"/>
      <c r="H964" s="79"/>
      <c r="I964" s="79"/>
    </row>
    <row r="965" spans="1:9" ht="15.75">
      <c r="A965" s="1"/>
      <c r="B965" s="81"/>
      <c r="C965" s="81"/>
      <c r="D965" s="81"/>
      <c r="E965" s="349"/>
      <c r="F965" s="349"/>
      <c r="G965" s="79"/>
      <c r="H965" s="79"/>
      <c r="I965" s="79"/>
    </row>
    <row r="966" spans="1:9" ht="15.75">
      <c r="A966" s="1"/>
      <c r="B966" s="81"/>
      <c r="C966" s="81"/>
      <c r="D966" s="81"/>
      <c r="E966" s="349"/>
      <c r="F966" s="349"/>
      <c r="G966" s="79"/>
      <c r="H966" s="79"/>
      <c r="I966" s="79"/>
    </row>
    <row r="967" spans="1:9" ht="15.75">
      <c r="A967" s="1"/>
      <c r="B967" s="81"/>
      <c r="C967" s="81"/>
      <c r="D967" s="81"/>
      <c r="E967" s="349"/>
      <c r="F967" s="349"/>
      <c r="G967" s="79"/>
      <c r="H967" s="79"/>
      <c r="I967" s="79"/>
    </row>
    <row r="968" spans="1:9" ht="15.75">
      <c r="A968" s="1"/>
      <c r="B968" s="81"/>
      <c r="C968" s="81"/>
      <c r="D968" s="81"/>
      <c r="E968" s="349"/>
      <c r="F968" s="349"/>
      <c r="G968" s="79"/>
      <c r="H968" s="79"/>
      <c r="I968" s="79"/>
    </row>
    <row r="969" spans="1:9" ht="15.75">
      <c r="A969" s="1"/>
      <c r="B969" s="81"/>
      <c r="C969" s="81"/>
      <c r="D969" s="81"/>
      <c r="E969" s="349"/>
      <c r="F969" s="349"/>
      <c r="G969" s="79"/>
      <c r="H969" s="79"/>
      <c r="I969" s="79"/>
    </row>
    <row r="970" spans="1:9" ht="15.75">
      <c r="A970" s="1"/>
      <c r="B970" s="81"/>
      <c r="C970" s="81"/>
      <c r="D970" s="81"/>
      <c r="E970" s="349"/>
      <c r="F970" s="349"/>
      <c r="G970" s="79"/>
      <c r="H970" s="79"/>
      <c r="I970" s="79"/>
    </row>
    <row r="971" spans="1:9" ht="15.75">
      <c r="A971" s="1"/>
      <c r="B971" s="81"/>
      <c r="C971" s="81"/>
      <c r="D971" s="81"/>
      <c r="E971" s="349"/>
      <c r="F971" s="349"/>
      <c r="G971" s="79"/>
      <c r="H971" s="79"/>
      <c r="I971" s="79"/>
    </row>
    <row r="972" spans="1:9" ht="15.75">
      <c r="A972" s="1"/>
      <c r="B972" s="81"/>
      <c r="C972" s="81"/>
      <c r="D972" s="81"/>
      <c r="E972" s="349"/>
      <c r="F972" s="349"/>
      <c r="G972" s="79"/>
      <c r="H972" s="79"/>
      <c r="I972" s="79"/>
    </row>
    <row r="973" spans="1:9" ht="15.75">
      <c r="A973" s="1"/>
      <c r="B973" s="81"/>
      <c r="C973" s="81"/>
      <c r="D973" s="81"/>
      <c r="E973" s="349"/>
      <c r="F973" s="349"/>
      <c r="G973" s="79"/>
      <c r="H973" s="79"/>
      <c r="I973" s="79"/>
    </row>
    <row r="974" spans="1:9" ht="15.75">
      <c r="A974" s="1"/>
      <c r="B974" s="81"/>
      <c r="C974" s="81"/>
      <c r="D974" s="81"/>
      <c r="E974" s="349"/>
      <c r="F974" s="349"/>
      <c r="G974" s="79"/>
      <c r="H974" s="79"/>
      <c r="I974" s="79"/>
    </row>
    <row r="975" spans="1:9" ht="15.75">
      <c r="A975" s="1"/>
      <c r="B975" s="81"/>
      <c r="C975" s="81"/>
      <c r="D975" s="81"/>
      <c r="E975" s="349"/>
      <c r="F975" s="349"/>
      <c r="G975" s="79"/>
      <c r="H975" s="79"/>
      <c r="I975" s="79"/>
    </row>
    <row r="976" spans="1:9" ht="15.75">
      <c r="A976" s="1"/>
      <c r="B976" s="81"/>
      <c r="C976" s="81"/>
      <c r="D976" s="81"/>
      <c r="E976" s="349"/>
      <c r="F976" s="349"/>
      <c r="G976" s="79"/>
      <c r="H976" s="79"/>
      <c r="I976" s="79"/>
    </row>
    <row r="977" spans="1:9" ht="15.75">
      <c r="A977" s="1"/>
      <c r="B977" s="81"/>
      <c r="C977" s="81"/>
      <c r="D977" s="81"/>
      <c r="E977" s="349"/>
      <c r="F977" s="349"/>
      <c r="G977" s="79"/>
      <c r="H977" s="79"/>
      <c r="I977" s="79"/>
    </row>
    <row r="978" spans="1:9" ht="15.75">
      <c r="A978" s="1"/>
      <c r="B978" s="81"/>
      <c r="C978" s="81"/>
      <c r="D978" s="81"/>
      <c r="E978" s="349"/>
      <c r="F978" s="349"/>
      <c r="G978" s="79"/>
      <c r="H978" s="79"/>
      <c r="I978" s="79"/>
    </row>
    <row r="979" spans="1:9" ht="15.75">
      <c r="A979" s="1"/>
      <c r="B979" s="81"/>
      <c r="C979" s="81"/>
      <c r="D979" s="81"/>
      <c r="E979" s="349"/>
      <c r="F979" s="349"/>
      <c r="G979" s="79"/>
      <c r="H979" s="79"/>
      <c r="I979" s="79"/>
    </row>
    <row r="980" spans="1:9" ht="15.75">
      <c r="A980" s="1"/>
      <c r="B980" s="81"/>
      <c r="C980" s="81"/>
      <c r="D980" s="81"/>
      <c r="E980" s="349"/>
      <c r="F980" s="349"/>
      <c r="G980" s="79"/>
      <c r="H980" s="79"/>
      <c r="I980" s="79"/>
    </row>
    <row r="981" spans="1:9" ht="15.75">
      <c r="A981" s="1"/>
      <c r="B981" s="81"/>
      <c r="C981" s="81"/>
      <c r="D981" s="81"/>
      <c r="E981" s="349"/>
      <c r="F981" s="349"/>
      <c r="G981" s="79"/>
      <c r="H981" s="79"/>
      <c r="I981" s="79"/>
    </row>
    <row r="982" spans="1:9" ht="15.75">
      <c r="A982" s="1"/>
      <c r="B982" s="81"/>
      <c r="C982" s="81"/>
      <c r="D982" s="81"/>
      <c r="E982" s="349"/>
      <c r="F982" s="349"/>
      <c r="G982" s="79"/>
      <c r="H982" s="79"/>
      <c r="I982" s="79"/>
    </row>
    <row r="983" spans="1:9" ht="15.75">
      <c r="A983" s="1"/>
      <c r="B983" s="81"/>
      <c r="C983" s="81"/>
      <c r="D983" s="81"/>
      <c r="E983" s="349"/>
      <c r="F983" s="349"/>
      <c r="G983" s="79"/>
      <c r="H983" s="79"/>
      <c r="I983" s="79"/>
    </row>
    <row r="984" spans="1:9" ht="15.75">
      <c r="A984" s="1"/>
      <c r="B984" s="81"/>
      <c r="C984" s="81"/>
      <c r="D984" s="81"/>
      <c r="E984" s="349"/>
      <c r="F984" s="349"/>
      <c r="G984" s="79"/>
      <c r="H984" s="79"/>
      <c r="I984" s="79"/>
    </row>
    <row r="985" spans="1:9" ht="15.75">
      <c r="A985" s="1"/>
      <c r="B985" s="81"/>
      <c r="C985" s="81"/>
      <c r="D985" s="81"/>
      <c r="E985" s="349"/>
      <c r="F985" s="349"/>
      <c r="G985" s="79"/>
      <c r="H985" s="79"/>
      <c r="I985" s="79"/>
    </row>
    <row r="986" spans="1:9" ht="15.75">
      <c r="A986" s="1"/>
      <c r="B986" s="81"/>
      <c r="C986" s="81"/>
      <c r="D986" s="81"/>
      <c r="E986" s="349"/>
      <c r="F986" s="349"/>
      <c r="G986" s="79"/>
      <c r="H986" s="79"/>
      <c r="I986" s="79"/>
    </row>
    <row r="987" spans="1:9" ht="15.75">
      <c r="A987" s="1"/>
      <c r="B987" s="81"/>
      <c r="C987" s="81"/>
      <c r="D987" s="81"/>
      <c r="E987" s="349"/>
      <c r="F987" s="349"/>
      <c r="G987" s="79"/>
      <c r="H987" s="79"/>
      <c r="I987" s="79"/>
    </row>
    <row r="988" spans="1:9" ht="15.75">
      <c r="A988" s="1"/>
      <c r="B988" s="81"/>
      <c r="C988" s="81"/>
      <c r="D988" s="81"/>
      <c r="E988" s="349"/>
      <c r="F988" s="349"/>
      <c r="G988" s="79"/>
      <c r="H988" s="79"/>
      <c r="I988" s="79"/>
    </row>
    <row r="989" spans="1:9" ht="15.75">
      <c r="A989" s="1"/>
      <c r="B989" s="81"/>
      <c r="C989" s="81"/>
      <c r="D989" s="81"/>
      <c r="E989" s="349"/>
      <c r="F989" s="349"/>
      <c r="G989" s="79"/>
      <c r="H989" s="79"/>
      <c r="I989" s="79"/>
    </row>
    <row r="990" spans="1:9" ht="15.75">
      <c r="A990" s="1"/>
      <c r="B990" s="81"/>
      <c r="C990" s="81"/>
      <c r="D990" s="81"/>
      <c r="E990" s="349"/>
      <c r="F990" s="349"/>
      <c r="G990" s="79"/>
      <c r="H990" s="79"/>
      <c r="I990" s="79"/>
    </row>
    <row r="991" spans="1:9" ht="15.75">
      <c r="A991" s="1"/>
      <c r="B991" s="81"/>
      <c r="C991" s="81"/>
      <c r="D991" s="81"/>
      <c r="E991" s="349"/>
      <c r="F991" s="349"/>
      <c r="G991" s="79"/>
      <c r="H991" s="79"/>
      <c r="I991" s="79"/>
    </row>
    <row r="992" spans="1:9" ht="15.75">
      <c r="A992" s="1"/>
      <c r="B992" s="81"/>
      <c r="C992" s="81"/>
      <c r="D992" s="81"/>
      <c r="E992" s="349"/>
      <c r="F992" s="349"/>
      <c r="G992" s="79"/>
      <c r="H992" s="79"/>
      <c r="I992" s="79"/>
    </row>
    <row r="993" spans="1:9" ht="15.75">
      <c r="A993" s="1"/>
      <c r="B993" s="81"/>
      <c r="C993" s="81"/>
      <c r="D993" s="81"/>
      <c r="E993" s="349"/>
      <c r="F993" s="349"/>
      <c r="G993" s="79"/>
      <c r="H993" s="79"/>
      <c r="I993" s="79"/>
    </row>
    <row r="994" spans="1:9" ht="15.75">
      <c r="A994" s="1"/>
      <c r="B994" s="81"/>
      <c r="C994" s="81"/>
      <c r="D994" s="81"/>
      <c r="E994" s="349"/>
      <c r="F994" s="349"/>
      <c r="G994" s="79"/>
      <c r="H994" s="79"/>
      <c r="I994" s="79"/>
    </row>
    <row r="995" spans="1:9" ht="15.75">
      <c r="A995" s="1"/>
      <c r="B995" s="81"/>
      <c r="C995" s="81"/>
      <c r="D995" s="81"/>
      <c r="E995" s="349"/>
      <c r="F995" s="349"/>
      <c r="G995" s="79"/>
      <c r="H995" s="79"/>
      <c r="I995" s="79"/>
    </row>
    <row r="996" spans="1:9" ht="15.75">
      <c r="A996" s="1"/>
      <c r="B996" s="81"/>
      <c r="C996" s="81"/>
      <c r="D996" s="81"/>
      <c r="E996" s="349"/>
      <c r="F996" s="349"/>
      <c r="G996" s="79"/>
      <c r="H996" s="79"/>
      <c r="I996" s="79"/>
    </row>
    <row r="997" spans="1:9" ht="15.75">
      <c r="A997" s="1"/>
      <c r="B997" s="81"/>
      <c r="C997" s="81"/>
      <c r="D997" s="81"/>
      <c r="E997" s="349"/>
      <c r="F997" s="349"/>
      <c r="G997" s="79"/>
      <c r="H997" s="79"/>
      <c r="I997" s="79"/>
    </row>
    <row r="998" spans="1:9" ht="15.75">
      <c r="A998" s="1"/>
      <c r="B998" s="81"/>
      <c r="C998" s="81"/>
      <c r="D998" s="81"/>
      <c r="E998" s="349"/>
      <c r="F998" s="349"/>
      <c r="G998" s="79"/>
      <c r="H998" s="79"/>
      <c r="I998" s="79"/>
    </row>
    <row r="999" spans="1:9" ht="15.75">
      <c r="A999" s="1"/>
      <c r="B999" s="81"/>
      <c r="C999" s="81"/>
      <c r="D999" s="81"/>
      <c r="E999" s="349"/>
      <c r="F999" s="349"/>
      <c r="G999" s="79"/>
      <c r="H999" s="79"/>
      <c r="I999" s="79"/>
    </row>
    <row r="1000" spans="1:9" ht="15.75">
      <c r="A1000" s="1"/>
      <c r="B1000" s="81"/>
      <c r="C1000" s="81"/>
      <c r="D1000" s="81"/>
      <c r="E1000" s="349"/>
      <c r="F1000" s="349"/>
      <c r="G1000" s="79"/>
      <c r="H1000" s="79"/>
      <c r="I1000" s="79"/>
    </row>
    <row r="1001" spans="1:9" ht="15.75">
      <c r="A1001" s="1"/>
      <c r="B1001" s="81"/>
      <c r="C1001" s="81"/>
      <c r="D1001" s="81"/>
      <c r="E1001" s="349"/>
      <c r="F1001" s="349"/>
      <c r="G1001" s="79"/>
      <c r="H1001" s="79"/>
      <c r="I1001" s="79"/>
    </row>
    <row r="1002" spans="1:9" ht="15.75">
      <c r="A1002" s="1"/>
      <c r="B1002" s="81"/>
      <c r="C1002" s="81"/>
      <c r="D1002" s="81"/>
      <c r="E1002" s="349"/>
      <c r="F1002" s="349"/>
      <c r="G1002" s="79"/>
      <c r="H1002" s="79"/>
      <c r="I1002" s="79"/>
    </row>
    <row r="1003" spans="1:9" ht="15.75">
      <c r="A1003" s="1"/>
      <c r="B1003" s="81"/>
      <c r="C1003" s="81"/>
      <c r="D1003" s="81"/>
      <c r="E1003" s="349"/>
      <c r="F1003" s="349"/>
      <c r="G1003" s="79"/>
      <c r="H1003" s="79"/>
      <c r="I1003" s="79"/>
    </row>
    <row r="1004" spans="1:9" ht="15.75">
      <c r="A1004" s="1"/>
      <c r="B1004" s="81"/>
      <c r="C1004" s="81"/>
      <c r="D1004" s="81"/>
      <c r="E1004" s="349"/>
      <c r="F1004" s="349"/>
      <c r="G1004" s="79"/>
      <c r="H1004" s="79"/>
      <c r="I1004" s="79"/>
    </row>
    <row r="1005" spans="1:9" ht="15.75">
      <c r="A1005" s="1"/>
      <c r="B1005" s="81"/>
      <c r="C1005" s="81"/>
      <c r="D1005" s="81"/>
      <c r="E1005" s="349"/>
      <c r="F1005" s="349"/>
      <c r="G1005" s="79"/>
      <c r="H1005" s="79"/>
      <c r="I1005" s="79"/>
    </row>
    <row r="1006" spans="1:9" ht="15.75">
      <c r="A1006" s="1"/>
      <c r="B1006" s="81"/>
      <c r="C1006" s="81"/>
      <c r="D1006" s="81"/>
      <c r="E1006" s="349"/>
      <c r="F1006" s="349"/>
      <c r="G1006" s="79"/>
      <c r="H1006" s="79"/>
      <c r="I1006" s="79"/>
    </row>
    <row r="1007" spans="1:9" ht="15.75">
      <c r="A1007" s="1"/>
      <c r="B1007" s="81"/>
      <c r="C1007" s="81"/>
      <c r="D1007" s="81"/>
      <c r="E1007" s="349"/>
      <c r="F1007" s="349"/>
      <c r="G1007" s="79"/>
      <c r="H1007" s="79"/>
      <c r="I1007" s="79"/>
    </row>
    <row r="1008" spans="1:9" ht="15.75">
      <c r="A1008" s="1"/>
      <c r="B1008" s="81"/>
      <c r="C1008" s="81"/>
      <c r="D1008" s="81"/>
      <c r="E1008" s="349"/>
      <c r="F1008" s="349"/>
      <c r="G1008" s="79"/>
      <c r="H1008" s="79"/>
      <c r="I1008" s="79"/>
    </row>
    <row r="1009" spans="1:9" ht="15.75">
      <c r="A1009" s="1"/>
      <c r="B1009" s="81"/>
      <c r="C1009" s="81"/>
      <c r="D1009" s="81"/>
      <c r="E1009" s="349"/>
      <c r="F1009" s="349"/>
      <c r="G1009" s="79"/>
      <c r="H1009" s="79"/>
      <c r="I1009" s="79"/>
    </row>
    <row r="1010" spans="1:9" ht="15.75">
      <c r="A1010" s="1"/>
      <c r="B1010" s="81"/>
      <c r="C1010" s="81"/>
      <c r="D1010" s="81"/>
      <c r="E1010" s="349"/>
      <c r="F1010" s="349"/>
      <c r="G1010" s="79"/>
      <c r="H1010" s="79"/>
      <c r="I1010" s="79"/>
    </row>
    <row r="1011" spans="1:9" ht="15.75">
      <c r="A1011" s="1"/>
      <c r="B1011" s="81"/>
      <c r="C1011" s="81"/>
      <c r="D1011" s="81"/>
      <c r="E1011" s="349"/>
      <c r="F1011" s="349"/>
      <c r="G1011" s="79"/>
      <c r="H1011" s="79"/>
      <c r="I1011" s="79"/>
    </row>
    <row r="1012" spans="1:9" ht="15.75">
      <c r="A1012" s="1"/>
      <c r="B1012" s="81"/>
      <c r="C1012" s="81"/>
      <c r="D1012" s="81"/>
      <c r="E1012" s="349"/>
      <c r="F1012" s="349"/>
      <c r="G1012" s="79"/>
      <c r="H1012" s="79"/>
      <c r="I1012" s="79"/>
    </row>
    <row r="1013" spans="1:9" ht="15.75">
      <c r="A1013" s="1"/>
      <c r="B1013" s="81"/>
      <c r="C1013" s="81"/>
      <c r="D1013" s="81"/>
      <c r="E1013" s="349"/>
      <c r="F1013" s="349"/>
      <c r="G1013" s="79"/>
      <c r="H1013" s="79"/>
      <c r="I1013" s="79"/>
    </row>
    <row r="1014" spans="1:9" ht="15.75">
      <c r="A1014" s="1"/>
      <c r="B1014" s="81"/>
      <c r="C1014" s="81"/>
      <c r="D1014" s="81"/>
      <c r="E1014" s="349"/>
      <c r="F1014" s="349"/>
      <c r="G1014" s="79"/>
      <c r="H1014" s="79"/>
      <c r="I1014" s="79"/>
    </row>
    <row r="1015" spans="1:9" ht="15.75">
      <c r="A1015" s="1"/>
      <c r="B1015" s="81"/>
      <c r="C1015" s="81"/>
      <c r="D1015" s="81"/>
      <c r="E1015" s="349"/>
      <c r="F1015" s="349"/>
      <c r="G1015" s="79"/>
      <c r="H1015" s="79"/>
      <c r="I1015" s="79"/>
    </row>
    <row r="1016" spans="1:9" ht="15.75">
      <c r="A1016" s="1"/>
      <c r="B1016" s="81"/>
      <c r="C1016" s="81"/>
      <c r="D1016" s="81"/>
      <c r="E1016" s="349"/>
      <c r="F1016" s="349"/>
      <c r="G1016" s="79"/>
      <c r="H1016" s="79"/>
      <c r="I1016" s="79"/>
    </row>
    <row r="1017" spans="1:9" ht="15.75">
      <c r="A1017" s="1"/>
      <c r="B1017" s="81"/>
      <c r="C1017" s="81"/>
      <c r="D1017" s="81"/>
      <c r="E1017" s="349"/>
      <c r="F1017" s="349"/>
      <c r="G1017" s="79"/>
      <c r="H1017" s="79"/>
      <c r="I1017" s="79"/>
    </row>
    <row r="1018" spans="1:9" ht="15.75">
      <c r="A1018" s="1"/>
      <c r="B1018" s="81"/>
      <c r="C1018" s="81"/>
      <c r="D1018" s="81"/>
      <c r="E1018" s="349"/>
      <c r="F1018" s="349"/>
      <c r="G1018" s="79"/>
      <c r="H1018" s="79"/>
      <c r="I1018" s="79"/>
    </row>
    <row r="1019" spans="1:9" ht="15.75">
      <c r="A1019" s="1"/>
      <c r="B1019" s="81"/>
      <c r="C1019" s="81"/>
      <c r="D1019" s="81"/>
      <c r="E1019" s="349"/>
      <c r="F1019" s="349"/>
      <c r="G1019" s="79"/>
      <c r="H1019" s="79"/>
      <c r="I1019" s="79"/>
    </row>
    <row r="1020" spans="1:9" ht="15.75">
      <c r="A1020" s="1"/>
      <c r="B1020" s="81"/>
      <c r="C1020" s="81"/>
      <c r="D1020" s="81"/>
      <c r="E1020" s="349"/>
      <c r="F1020" s="349"/>
      <c r="G1020" s="79"/>
      <c r="H1020" s="79"/>
      <c r="I1020" s="79"/>
    </row>
    <row r="1021" spans="1:9" ht="15.75">
      <c r="A1021" s="1"/>
      <c r="B1021" s="81"/>
      <c r="C1021" s="81"/>
      <c r="D1021" s="81"/>
      <c r="E1021" s="349"/>
      <c r="F1021" s="349"/>
      <c r="G1021" s="79"/>
      <c r="H1021" s="79"/>
      <c r="I1021" s="79"/>
    </row>
    <row r="1022" spans="1:9" ht="15.75">
      <c r="A1022" s="1"/>
      <c r="B1022" s="81"/>
      <c r="C1022" s="81"/>
      <c r="D1022" s="81"/>
      <c r="E1022" s="349"/>
      <c r="F1022" s="349"/>
      <c r="G1022" s="79"/>
      <c r="H1022" s="79"/>
      <c r="I1022" s="79"/>
    </row>
    <row r="1023" spans="1:9" ht="15.75">
      <c r="A1023" s="1"/>
      <c r="B1023" s="81"/>
      <c r="C1023" s="81"/>
      <c r="D1023" s="81"/>
      <c r="E1023" s="349"/>
      <c r="F1023" s="349"/>
      <c r="G1023" s="79"/>
      <c r="H1023" s="79"/>
      <c r="I1023" s="79"/>
    </row>
    <row r="1024" spans="1:9" ht="15.75">
      <c r="A1024" s="1"/>
      <c r="B1024" s="81"/>
      <c r="C1024" s="81"/>
      <c r="D1024" s="81"/>
      <c r="E1024" s="349"/>
      <c r="F1024" s="349"/>
      <c r="G1024" s="79"/>
      <c r="H1024" s="79"/>
      <c r="I1024" s="79"/>
    </row>
    <row r="1025" spans="1:9" ht="15.75">
      <c r="A1025" s="1"/>
      <c r="B1025" s="81"/>
      <c r="C1025" s="81"/>
      <c r="D1025" s="81"/>
      <c r="E1025" s="349"/>
      <c r="F1025" s="349"/>
      <c r="G1025" s="79"/>
      <c r="H1025" s="79"/>
      <c r="I1025" s="79"/>
    </row>
    <row r="1026" spans="1:9" ht="15.75">
      <c r="A1026" s="1"/>
      <c r="B1026" s="81"/>
      <c r="C1026" s="81"/>
      <c r="D1026" s="81"/>
      <c r="E1026" s="349"/>
      <c r="F1026" s="349"/>
      <c r="G1026" s="79"/>
      <c r="H1026" s="79"/>
      <c r="I1026" s="79"/>
    </row>
    <row r="1027" spans="1:9" ht="15.75">
      <c r="A1027" s="1"/>
      <c r="B1027" s="81"/>
      <c r="C1027" s="81"/>
      <c r="D1027" s="81"/>
      <c r="E1027" s="349"/>
      <c r="F1027" s="349"/>
      <c r="G1027" s="79"/>
      <c r="H1027" s="79"/>
      <c r="I1027" s="79"/>
    </row>
    <row r="1028" spans="1:9" ht="15.75">
      <c r="A1028" s="1"/>
      <c r="B1028" s="81"/>
      <c r="C1028" s="81"/>
      <c r="D1028" s="81"/>
      <c r="E1028" s="349"/>
      <c r="F1028" s="349"/>
      <c r="G1028" s="79"/>
      <c r="H1028" s="79"/>
      <c r="I1028" s="79"/>
    </row>
    <row r="1029" spans="1:9" ht="15.75">
      <c r="A1029" s="1"/>
      <c r="B1029" s="81"/>
      <c r="C1029" s="81"/>
      <c r="D1029" s="81"/>
      <c r="E1029" s="349"/>
      <c r="F1029" s="349"/>
      <c r="G1029" s="79"/>
      <c r="H1029" s="79"/>
      <c r="I1029" s="79"/>
    </row>
    <row r="1030" spans="1:9" ht="15.75">
      <c r="A1030" s="1"/>
      <c r="B1030" s="81"/>
      <c r="C1030" s="81"/>
      <c r="D1030" s="81"/>
      <c r="E1030" s="349"/>
      <c r="F1030" s="349"/>
      <c r="G1030" s="79"/>
      <c r="H1030" s="79"/>
      <c r="I1030" s="79"/>
    </row>
    <row r="1031" spans="1:9" ht="15.75">
      <c r="A1031" s="1"/>
      <c r="B1031" s="81"/>
      <c r="C1031" s="81"/>
      <c r="D1031" s="81"/>
      <c r="E1031" s="349"/>
      <c r="F1031" s="349"/>
      <c r="G1031" s="79"/>
      <c r="H1031" s="79"/>
      <c r="I1031" s="79"/>
    </row>
    <row r="1032" spans="1:9" ht="15.75">
      <c r="A1032" s="1"/>
      <c r="B1032" s="81"/>
      <c r="C1032" s="81"/>
      <c r="D1032" s="81"/>
      <c r="E1032" s="349"/>
      <c r="F1032" s="349"/>
      <c r="G1032" s="79"/>
      <c r="H1032" s="79"/>
      <c r="I1032" s="79"/>
    </row>
    <row r="1033" spans="1:9" ht="15.75">
      <c r="A1033" s="1"/>
      <c r="B1033" s="81"/>
      <c r="C1033" s="81"/>
      <c r="D1033" s="81"/>
      <c r="E1033" s="349"/>
      <c r="F1033" s="349"/>
      <c r="G1033" s="79"/>
      <c r="H1033" s="79"/>
      <c r="I1033" s="79"/>
    </row>
    <row r="1034" spans="1:9" ht="15.75">
      <c r="A1034" s="1"/>
      <c r="B1034" s="81"/>
      <c r="C1034" s="81"/>
      <c r="D1034" s="81"/>
      <c r="E1034" s="349"/>
      <c r="F1034" s="349"/>
      <c r="G1034" s="79"/>
      <c r="H1034" s="79"/>
      <c r="I1034" s="79"/>
    </row>
    <row r="1035" spans="1:9" ht="15.75">
      <c r="A1035" s="1"/>
      <c r="B1035" s="81"/>
      <c r="C1035" s="81"/>
      <c r="D1035" s="81"/>
      <c r="E1035" s="349"/>
      <c r="F1035" s="349"/>
      <c r="G1035" s="79"/>
      <c r="H1035" s="79"/>
      <c r="I1035" s="79"/>
    </row>
    <row r="1036" spans="1:9" ht="15.75">
      <c r="A1036" s="1"/>
      <c r="B1036" s="81"/>
      <c r="C1036" s="81"/>
      <c r="D1036" s="81"/>
      <c r="E1036" s="349"/>
      <c r="F1036" s="349"/>
      <c r="G1036" s="79"/>
      <c r="H1036" s="79"/>
      <c r="I1036" s="79"/>
    </row>
  </sheetData>
  <sheetProtection/>
  <autoFilter ref="A6:I944"/>
  <mergeCells count="2">
    <mergeCell ref="D1:I1"/>
    <mergeCell ref="A3:I3"/>
  </mergeCells>
  <printOptions/>
  <pageMargins left="0.7086614173228347" right="0.7086614173228347" top="0.7480314960629921" bottom="0.7480314960629921" header="0.31496062992125984" footer="0.31496062992125984"/>
  <pageSetup fitToHeight="30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P1022"/>
  <sheetViews>
    <sheetView tabSelected="1" view="pageBreakPreview" zoomScale="130" zoomScaleSheetLayoutView="130" workbookViewId="0" topLeftCell="A1">
      <selection activeCell="D648" sqref="D648"/>
    </sheetView>
  </sheetViews>
  <sheetFormatPr defaultColWidth="9.00390625" defaultRowHeight="12.75"/>
  <cols>
    <col min="1" max="1" width="90.25390625" style="53" customWidth="1"/>
    <col min="2" max="2" width="12.375" style="58" customWidth="1"/>
    <col min="3" max="3" width="5.375" style="58" customWidth="1"/>
    <col min="4" max="4" width="9.875" style="97" customWidth="1"/>
    <col min="5" max="8" width="0" style="15" hidden="1" customWidth="1"/>
    <col min="9" max="9" width="1.37890625" style="15" hidden="1" customWidth="1"/>
    <col min="10" max="14" width="0" style="15" hidden="1" customWidth="1"/>
    <col min="15" max="15" width="1.37890625" style="15" customWidth="1"/>
    <col min="16" max="16384" width="9.125" style="15" customWidth="1"/>
  </cols>
  <sheetData>
    <row r="1" spans="1:16" s="13" customFormat="1" ht="12" customHeight="1">
      <c r="A1" s="1"/>
      <c r="B1" s="392" t="s">
        <v>677</v>
      </c>
      <c r="C1" s="393"/>
      <c r="D1" s="393"/>
      <c r="E1" s="393"/>
      <c r="F1" s="393"/>
      <c r="G1" s="393"/>
      <c r="P1" s="69"/>
    </row>
    <row r="2" spans="1:16" s="13" customFormat="1" ht="12" customHeight="1">
      <c r="A2" s="1"/>
      <c r="B2" s="392" t="s">
        <v>163</v>
      </c>
      <c r="C2" s="394"/>
      <c r="D2" s="394"/>
      <c r="E2" s="394"/>
      <c r="F2" s="394"/>
      <c r="G2" s="394"/>
      <c r="P2" s="69"/>
    </row>
    <row r="3" spans="1:16" s="13" customFormat="1" ht="12" customHeight="1">
      <c r="A3" s="1"/>
      <c r="B3" s="392" t="s">
        <v>509</v>
      </c>
      <c r="C3" s="394"/>
      <c r="D3" s="394"/>
      <c r="E3" s="394"/>
      <c r="F3" s="394"/>
      <c r="G3" s="394"/>
      <c r="P3" s="69"/>
    </row>
    <row r="4" spans="1:16" s="13" customFormat="1" ht="12" customHeight="1">
      <c r="A4" s="1"/>
      <c r="B4" s="392" t="s">
        <v>510</v>
      </c>
      <c r="C4" s="394"/>
      <c r="D4" s="394"/>
      <c r="E4" s="394"/>
      <c r="F4" s="394"/>
      <c r="G4" s="394"/>
      <c r="P4" s="69"/>
    </row>
    <row r="5" spans="1:16" s="13" customFormat="1" ht="12" customHeight="1">
      <c r="A5" s="1"/>
      <c r="B5" s="392" t="s">
        <v>699</v>
      </c>
      <c r="C5" s="394"/>
      <c r="D5" s="394"/>
      <c r="E5" s="394"/>
      <c r="F5" s="394"/>
      <c r="G5" s="394"/>
      <c r="P5" s="69"/>
    </row>
    <row r="6" spans="1:3" ht="12" customHeight="1">
      <c r="A6" s="65"/>
      <c r="B6" s="63"/>
      <c r="C6" s="63"/>
    </row>
    <row r="7" spans="1:16" s="13" customFormat="1" ht="12" customHeight="1">
      <c r="A7" s="1"/>
      <c r="B7" s="392" t="s">
        <v>595</v>
      </c>
      <c r="C7" s="393"/>
      <c r="D7" s="393"/>
      <c r="E7" s="393"/>
      <c r="F7" s="393"/>
      <c r="G7" s="393"/>
      <c r="P7" s="69"/>
    </row>
    <row r="8" spans="1:16" s="13" customFormat="1" ht="12" customHeight="1">
      <c r="A8" s="1"/>
      <c r="B8" s="392" t="s">
        <v>163</v>
      </c>
      <c r="C8" s="394"/>
      <c r="D8" s="394"/>
      <c r="E8" s="394"/>
      <c r="F8" s="394"/>
      <c r="G8" s="394"/>
      <c r="P8" s="69"/>
    </row>
    <row r="9" spans="1:16" s="13" customFormat="1" ht="12" customHeight="1">
      <c r="A9" s="1"/>
      <c r="B9" s="392" t="s">
        <v>509</v>
      </c>
      <c r="C9" s="394"/>
      <c r="D9" s="394"/>
      <c r="E9" s="394"/>
      <c r="F9" s="394"/>
      <c r="G9" s="394"/>
      <c r="P9" s="69"/>
    </row>
    <row r="10" spans="1:16" s="13" customFormat="1" ht="12" customHeight="1">
      <c r="A10" s="1"/>
      <c r="B10" s="392" t="s">
        <v>510</v>
      </c>
      <c r="C10" s="394"/>
      <c r="D10" s="394"/>
      <c r="E10" s="394"/>
      <c r="F10" s="394"/>
      <c r="G10" s="394"/>
      <c r="P10" s="69"/>
    </row>
    <row r="11" spans="1:16" s="13" customFormat="1" ht="12" customHeight="1">
      <c r="A11" s="1"/>
      <c r="B11" s="392" t="s">
        <v>591</v>
      </c>
      <c r="C11" s="394"/>
      <c r="D11" s="394"/>
      <c r="E11" s="394"/>
      <c r="F11" s="394"/>
      <c r="G11" s="394"/>
      <c r="P11" s="69"/>
    </row>
    <row r="12" spans="1:5" ht="27.75" customHeight="1">
      <c r="A12" s="395" t="s">
        <v>522</v>
      </c>
      <c r="B12" s="395"/>
      <c r="C12" s="395"/>
      <c r="D12" s="395"/>
      <c r="E12" s="14"/>
    </row>
    <row r="13" spans="1:4" s="13" customFormat="1" ht="45">
      <c r="A13" s="61" t="s">
        <v>169</v>
      </c>
      <c r="B13" s="61" t="s">
        <v>168</v>
      </c>
      <c r="C13" s="61" t="s">
        <v>173</v>
      </c>
      <c r="D13" s="93" t="s">
        <v>156</v>
      </c>
    </row>
    <row r="14" spans="1:4" s="16" customFormat="1" ht="15.75">
      <c r="A14" s="64">
        <v>1</v>
      </c>
      <c r="B14" s="62" t="s">
        <v>269</v>
      </c>
      <c r="C14" s="62" t="s">
        <v>270</v>
      </c>
      <c r="D14" s="94" t="s">
        <v>158</v>
      </c>
    </row>
    <row r="15" spans="1:9" s="20" customFormat="1" ht="12.75">
      <c r="A15" s="247" t="s">
        <v>428</v>
      </c>
      <c r="B15" s="248" t="s">
        <v>49</v>
      </c>
      <c r="C15" s="249"/>
      <c r="D15" s="50">
        <f>D16+D19</f>
        <v>1034.2</v>
      </c>
      <c r="I15" s="32"/>
    </row>
    <row r="16" spans="1:9" s="20" customFormat="1" ht="12.75">
      <c r="A16" s="170" t="s">
        <v>138</v>
      </c>
      <c r="B16" s="250" t="s">
        <v>50</v>
      </c>
      <c r="C16" s="251"/>
      <c r="D16" s="51">
        <f>D17</f>
        <v>998.7</v>
      </c>
      <c r="I16" s="32"/>
    </row>
    <row r="17" spans="1:9" s="20" customFormat="1" ht="12.75">
      <c r="A17" s="252" t="s">
        <v>264</v>
      </c>
      <c r="B17" s="250" t="s">
        <v>50</v>
      </c>
      <c r="C17" s="251" t="s">
        <v>216</v>
      </c>
      <c r="D17" s="51">
        <f>SUM(D18)</f>
        <v>998.7</v>
      </c>
      <c r="I17" s="32"/>
    </row>
    <row r="18" spans="1:9" s="20" customFormat="1" ht="12.75">
      <c r="A18" s="252" t="s">
        <v>217</v>
      </c>
      <c r="B18" s="250" t="s">
        <v>50</v>
      </c>
      <c r="C18" s="251" t="s">
        <v>215</v>
      </c>
      <c r="D18" s="51">
        <f>1050-100+48.7</f>
        <v>998.7</v>
      </c>
      <c r="I18" s="32"/>
    </row>
    <row r="19" spans="1:9" s="20" customFormat="1" ht="12.75">
      <c r="A19" s="253" t="s">
        <v>140</v>
      </c>
      <c r="B19" s="254" t="s">
        <v>51</v>
      </c>
      <c r="C19" s="251"/>
      <c r="D19" s="51">
        <f>D20</f>
        <v>35.5</v>
      </c>
      <c r="I19" s="32"/>
    </row>
    <row r="20" spans="1:9" s="20" customFormat="1" ht="12.75">
      <c r="A20" s="252" t="s">
        <v>264</v>
      </c>
      <c r="B20" s="254" t="s">
        <v>51</v>
      </c>
      <c r="C20" s="251" t="s">
        <v>216</v>
      </c>
      <c r="D20" s="51">
        <f>D21</f>
        <v>35.5</v>
      </c>
      <c r="I20" s="32"/>
    </row>
    <row r="21" spans="1:9" s="20" customFormat="1" ht="12.75">
      <c r="A21" s="252" t="s">
        <v>217</v>
      </c>
      <c r="B21" s="254" t="s">
        <v>51</v>
      </c>
      <c r="C21" s="251" t="s">
        <v>215</v>
      </c>
      <c r="D21" s="51">
        <v>35.5</v>
      </c>
      <c r="I21" s="32"/>
    </row>
    <row r="22" spans="1:9" s="20" customFormat="1" ht="12.75">
      <c r="A22" s="247" t="s">
        <v>434</v>
      </c>
      <c r="B22" s="248" t="s">
        <v>13</v>
      </c>
      <c r="C22" s="249"/>
      <c r="D22" s="320">
        <f>D23+D60+D157+D198</f>
        <v>888444.898</v>
      </c>
      <c r="I22" s="32"/>
    </row>
    <row r="23" spans="1:4" ht="15.75">
      <c r="A23" s="255" t="s">
        <v>440</v>
      </c>
      <c r="B23" s="256" t="s">
        <v>14</v>
      </c>
      <c r="C23" s="257"/>
      <c r="D23" s="320">
        <f>D24+D27+D30+D33+D36+D39+D42+D45+D51+D54+D57+D49</f>
        <v>247072.842</v>
      </c>
    </row>
    <row r="24" spans="1:4" ht="15.75">
      <c r="A24" s="258" t="s">
        <v>125</v>
      </c>
      <c r="B24" s="259" t="s">
        <v>30</v>
      </c>
      <c r="C24" s="260"/>
      <c r="D24" s="321">
        <f>D25</f>
        <v>93491.8</v>
      </c>
    </row>
    <row r="25" spans="1:4" ht="15.75">
      <c r="A25" s="261" t="s">
        <v>220</v>
      </c>
      <c r="B25" s="259" t="s">
        <v>30</v>
      </c>
      <c r="C25" s="260" t="s">
        <v>206</v>
      </c>
      <c r="D25" s="321">
        <f>D26</f>
        <v>93491.8</v>
      </c>
    </row>
    <row r="26" spans="1:4" ht="11.25" customHeight="1">
      <c r="A26" s="262" t="s">
        <v>221</v>
      </c>
      <c r="B26" s="259" t="s">
        <v>30</v>
      </c>
      <c r="C26" s="260" t="s">
        <v>222</v>
      </c>
      <c r="D26" s="321">
        <v>93491.8</v>
      </c>
    </row>
    <row r="27" spans="1:4" ht="11.25" customHeight="1">
      <c r="A27" s="263" t="s">
        <v>253</v>
      </c>
      <c r="B27" s="259" t="s">
        <v>254</v>
      </c>
      <c r="C27" s="260"/>
      <c r="D27" s="321">
        <f>D28</f>
        <v>610.1</v>
      </c>
    </row>
    <row r="28" spans="1:4" ht="15.75">
      <c r="A28" s="261" t="s">
        <v>220</v>
      </c>
      <c r="B28" s="259" t="s">
        <v>254</v>
      </c>
      <c r="C28" s="260" t="s">
        <v>206</v>
      </c>
      <c r="D28" s="321">
        <f>D29</f>
        <v>610.1</v>
      </c>
    </row>
    <row r="29" spans="1:4" s="36" customFormat="1" ht="11.25" customHeight="1">
      <c r="A29" s="262" t="s">
        <v>221</v>
      </c>
      <c r="B29" s="259" t="s">
        <v>254</v>
      </c>
      <c r="C29" s="260" t="s">
        <v>222</v>
      </c>
      <c r="D29" s="321">
        <v>610.1</v>
      </c>
    </row>
    <row r="30" spans="1:4" s="36" customFormat="1" ht="11.25" customHeight="1">
      <c r="A30" s="262" t="s">
        <v>8</v>
      </c>
      <c r="B30" s="259" t="s">
        <v>667</v>
      </c>
      <c r="C30" s="260"/>
      <c r="D30" s="321">
        <f>D31</f>
        <v>774.9</v>
      </c>
    </row>
    <row r="31" spans="1:4" s="36" customFormat="1" ht="11.25" customHeight="1">
      <c r="A31" s="262" t="s">
        <v>220</v>
      </c>
      <c r="B31" s="259" t="s">
        <v>667</v>
      </c>
      <c r="C31" s="260" t="s">
        <v>206</v>
      </c>
      <c r="D31" s="321">
        <f>D32</f>
        <v>774.9</v>
      </c>
    </row>
    <row r="32" spans="1:4" s="36" customFormat="1" ht="11.25" customHeight="1">
      <c r="A32" s="262" t="s">
        <v>221</v>
      </c>
      <c r="B32" s="259" t="s">
        <v>667</v>
      </c>
      <c r="C32" s="260" t="s">
        <v>222</v>
      </c>
      <c r="D32" s="321">
        <v>774.9</v>
      </c>
    </row>
    <row r="33" spans="1:4" s="36" customFormat="1" ht="12.75">
      <c r="A33" s="263" t="s">
        <v>323</v>
      </c>
      <c r="B33" s="259" t="s">
        <v>28</v>
      </c>
      <c r="C33" s="260"/>
      <c r="D33" s="321">
        <f>D34</f>
        <v>460.4</v>
      </c>
    </row>
    <row r="34" spans="1:4" s="36" customFormat="1" ht="12.75">
      <c r="A34" s="261" t="s">
        <v>220</v>
      </c>
      <c r="B34" s="259" t="s">
        <v>28</v>
      </c>
      <c r="C34" s="260" t="s">
        <v>206</v>
      </c>
      <c r="D34" s="321">
        <f>D35</f>
        <v>460.4</v>
      </c>
    </row>
    <row r="35" spans="1:4" s="36" customFormat="1" ht="12.75">
      <c r="A35" s="262" t="s">
        <v>221</v>
      </c>
      <c r="B35" s="259" t="s">
        <v>28</v>
      </c>
      <c r="C35" s="260" t="s">
        <v>222</v>
      </c>
      <c r="D35" s="321">
        <v>460.4</v>
      </c>
    </row>
    <row r="36" spans="1:4" s="36" customFormat="1" ht="12.75">
      <c r="A36" s="263" t="s">
        <v>324</v>
      </c>
      <c r="B36" s="259" t="s">
        <v>29</v>
      </c>
      <c r="C36" s="260"/>
      <c r="D36" s="321">
        <f>D37</f>
        <v>99.7</v>
      </c>
    </row>
    <row r="37" spans="1:4" ht="15.75">
      <c r="A37" s="261" t="s">
        <v>220</v>
      </c>
      <c r="B37" s="259" t="s">
        <v>29</v>
      </c>
      <c r="C37" s="260" t="s">
        <v>206</v>
      </c>
      <c r="D37" s="321">
        <f>D38</f>
        <v>99.7</v>
      </c>
    </row>
    <row r="38" spans="1:4" ht="15.75">
      <c r="A38" s="262" t="s">
        <v>221</v>
      </c>
      <c r="B38" s="259" t="s">
        <v>29</v>
      </c>
      <c r="C38" s="260" t="s">
        <v>222</v>
      </c>
      <c r="D38" s="321">
        <v>99.7</v>
      </c>
    </row>
    <row r="39" spans="1:7" ht="15.75">
      <c r="A39" s="263" t="s">
        <v>325</v>
      </c>
      <c r="B39" s="259" t="s">
        <v>579</v>
      </c>
      <c r="C39" s="260"/>
      <c r="D39" s="321">
        <f aca="true" t="shared" si="0" ref="D39:F40">D40</f>
        <v>1116.2</v>
      </c>
      <c r="E39" s="54">
        <f t="shared" si="0"/>
        <v>0</v>
      </c>
      <c r="F39" s="54" t="e">
        <f t="shared" si="0"/>
        <v>#REF!</v>
      </c>
      <c r="G39" s="55"/>
    </row>
    <row r="40" spans="1:7" ht="15.75">
      <c r="A40" s="261" t="s">
        <v>220</v>
      </c>
      <c r="B40" s="259" t="s">
        <v>579</v>
      </c>
      <c r="C40" s="260" t="s">
        <v>206</v>
      </c>
      <c r="D40" s="321">
        <f t="shared" si="0"/>
        <v>1116.2</v>
      </c>
      <c r="E40" s="54">
        <f t="shared" si="0"/>
        <v>0</v>
      </c>
      <c r="F40" s="54" t="e">
        <f t="shared" si="0"/>
        <v>#REF!</v>
      </c>
      <c r="G40" s="55"/>
    </row>
    <row r="41" spans="1:7" ht="15.75">
      <c r="A41" s="262" t="s">
        <v>221</v>
      </c>
      <c r="B41" s="259" t="s">
        <v>579</v>
      </c>
      <c r="C41" s="260" t="s">
        <v>222</v>
      </c>
      <c r="D41" s="321">
        <v>1116.2</v>
      </c>
      <c r="E41" s="54">
        <v>0</v>
      </c>
      <c r="F41" s="29" t="e">
        <f>#REF!-E41</f>
        <v>#REF!</v>
      </c>
      <c r="G41" s="56"/>
    </row>
    <row r="42" spans="1:7" ht="15.75">
      <c r="A42" s="263" t="s">
        <v>430</v>
      </c>
      <c r="B42" s="259" t="s">
        <v>580</v>
      </c>
      <c r="C42" s="260"/>
      <c r="D42" s="321">
        <f aca="true" t="shared" si="1" ref="D42:F43">D43</f>
        <v>39.9</v>
      </c>
      <c r="E42" s="29">
        <f t="shared" si="1"/>
        <v>0</v>
      </c>
      <c r="F42" s="29" t="e">
        <f t="shared" si="1"/>
        <v>#REF!</v>
      </c>
      <c r="G42" s="55"/>
    </row>
    <row r="43" spans="1:7" ht="15.75">
      <c r="A43" s="261" t="s">
        <v>220</v>
      </c>
      <c r="B43" s="259" t="s">
        <v>580</v>
      </c>
      <c r="C43" s="260" t="s">
        <v>206</v>
      </c>
      <c r="D43" s="321">
        <f t="shared" si="1"/>
        <v>39.9</v>
      </c>
      <c r="E43" s="29">
        <f t="shared" si="1"/>
        <v>0</v>
      </c>
      <c r="F43" s="29" t="e">
        <f t="shared" si="1"/>
        <v>#REF!</v>
      </c>
      <c r="G43" s="55"/>
    </row>
    <row r="44" spans="1:7" ht="15.75">
      <c r="A44" s="262" t="s">
        <v>221</v>
      </c>
      <c r="B44" s="259" t="s">
        <v>580</v>
      </c>
      <c r="C44" s="260" t="s">
        <v>222</v>
      </c>
      <c r="D44" s="321">
        <v>39.9</v>
      </c>
      <c r="E44" s="29">
        <v>0</v>
      </c>
      <c r="F44" s="29" t="e">
        <f>#REF!-E44</f>
        <v>#REF!</v>
      </c>
      <c r="G44" s="55"/>
    </row>
    <row r="45" spans="1:7" ht="28.5" customHeight="1">
      <c r="A45" s="264" t="s">
        <v>665</v>
      </c>
      <c r="B45" s="259" t="s">
        <v>664</v>
      </c>
      <c r="C45" s="260"/>
      <c r="D45" s="321">
        <f>D46</f>
        <v>1106.5</v>
      </c>
      <c r="E45" s="55"/>
      <c r="F45" s="55"/>
      <c r="G45" s="55"/>
    </row>
    <row r="46" spans="1:7" ht="19.5" customHeight="1">
      <c r="A46" s="261" t="s">
        <v>220</v>
      </c>
      <c r="B46" s="259" t="s">
        <v>664</v>
      </c>
      <c r="C46" s="260" t="s">
        <v>206</v>
      </c>
      <c r="D46" s="321">
        <f>D47</f>
        <v>1106.5</v>
      </c>
      <c r="E46" s="55"/>
      <c r="F46" s="55"/>
      <c r="G46" s="55"/>
    </row>
    <row r="47" spans="1:7" ht="15.75">
      <c r="A47" s="262" t="s">
        <v>221</v>
      </c>
      <c r="B47" s="259" t="s">
        <v>664</v>
      </c>
      <c r="C47" s="260" t="s">
        <v>222</v>
      </c>
      <c r="D47" s="321">
        <v>1106.5</v>
      </c>
      <c r="E47" s="55"/>
      <c r="F47" s="55"/>
      <c r="G47" s="55"/>
    </row>
    <row r="48" spans="1:4" ht="15.75">
      <c r="A48" s="264" t="s">
        <v>680</v>
      </c>
      <c r="B48" s="259" t="s">
        <v>684</v>
      </c>
      <c r="C48" s="260"/>
      <c r="D48" s="321">
        <f>D49</f>
        <v>2200</v>
      </c>
    </row>
    <row r="49" spans="1:4" ht="15.75">
      <c r="A49" s="261" t="s">
        <v>220</v>
      </c>
      <c r="B49" s="259" t="s">
        <v>684</v>
      </c>
      <c r="C49" s="260" t="s">
        <v>206</v>
      </c>
      <c r="D49" s="321">
        <f>D50</f>
        <v>2200</v>
      </c>
    </row>
    <row r="50" spans="1:4" ht="15.75">
      <c r="A50" s="262" t="s">
        <v>221</v>
      </c>
      <c r="B50" s="259" t="s">
        <v>684</v>
      </c>
      <c r="C50" s="260" t="s">
        <v>222</v>
      </c>
      <c r="D50" s="321">
        <v>2200</v>
      </c>
    </row>
    <row r="51" spans="1:4" ht="36.75">
      <c r="A51" s="264" t="s">
        <v>295</v>
      </c>
      <c r="B51" s="259" t="s">
        <v>289</v>
      </c>
      <c r="C51" s="260"/>
      <c r="D51" s="321">
        <f>D52</f>
        <v>1622.842</v>
      </c>
    </row>
    <row r="52" spans="1:4" ht="15.75">
      <c r="A52" s="261" t="s">
        <v>220</v>
      </c>
      <c r="B52" s="259" t="s">
        <v>289</v>
      </c>
      <c r="C52" s="260" t="s">
        <v>206</v>
      </c>
      <c r="D52" s="321">
        <f>D53</f>
        <v>1622.842</v>
      </c>
    </row>
    <row r="53" spans="1:4" ht="15.75">
      <c r="A53" s="262" t="s">
        <v>221</v>
      </c>
      <c r="B53" s="259" t="s">
        <v>289</v>
      </c>
      <c r="C53" s="260" t="s">
        <v>222</v>
      </c>
      <c r="D53" s="321">
        <f>1472.842+150</f>
        <v>1622.842</v>
      </c>
    </row>
    <row r="54" spans="1:4" s="36" customFormat="1" ht="12.75">
      <c r="A54" s="265" t="s">
        <v>333</v>
      </c>
      <c r="B54" s="259" t="s">
        <v>90</v>
      </c>
      <c r="C54" s="260"/>
      <c r="D54" s="51">
        <f>D55</f>
        <v>136451.5</v>
      </c>
    </row>
    <row r="55" spans="1:4" s="36" customFormat="1" ht="12.75">
      <c r="A55" s="261" t="s">
        <v>220</v>
      </c>
      <c r="B55" s="259" t="s">
        <v>90</v>
      </c>
      <c r="C55" s="260" t="s">
        <v>206</v>
      </c>
      <c r="D55" s="321">
        <f>D56</f>
        <v>136451.5</v>
      </c>
    </row>
    <row r="56" spans="1:4" s="36" customFormat="1" ht="12.75">
      <c r="A56" s="262" t="s">
        <v>221</v>
      </c>
      <c r="B56" s="259" t="s">
        <v>90</v>
      </c>
      <c r="C56" s="260" t="s">
        <v>222</v>
      </c>
      <c r="D56" s="321">
        <v>136451.5</v>
      </c>
    </row>
    <row r="57" spans="1:4" s="36" customFormat="1" ht="24">
      <c r="A57" s="262" t="s">
        <v>296</v>
      </c>
      <c r="B57" s="259" t="s">
        <v>91</v>
      </c>
      <c r="C57" s="260"/>
      <c r="D57" s="321">
        <f>D58</f>
        <v>9099</v>
      </c>
    </row>
    <row r="58" spans="1:4" s="36" customFormat="1" ht="12.75">
      <c r="A58" s="262" t="s">
        <v>220</v>
      </c>
      <c r="B58" s="259" t="s">
        <v>91</v>
      </c>
      <c r="C58" s="260" t="s">
        <v>206</v>
      </c>
      <c r="D58" s="321">
        <f>D59</f>
        <v>9099</v>
      </c>
    </row>
    <row r="59" spans="1:4" s="36" customFormat="1" ht="12.75">
      <c r="A59" s="262" t="s">
        <v>221</v>
      </c>
      <c r="B59" s="259" t="s">
        <v>91</v>
      </c>
      <c r="C59" s="260" t="s">
        <v>222</v>
      </c>
      <c r="D59" s="321">
        <v>9099</v>
      </c>
    </row>
    <row r="60" spans="1:4" ht="15.75">
      <c r="A60" s="255" t="s">
        <v>441</v>
      </c>
      <c r="B60" s="256" t="s">
        <v>31</v>
      </c>
      <c r="C60" s="257"/>
      <c r="D60" s="50">
        <f>D61+D64+D67+D73+D76+D79+D85+D88+D91+D103+D106+D145+D115+D118+D121+D136+D139+D142+D148+D124+D94+D112+D127+D130+D151+D154+D70+D97+D133+D109+D100</f>
        <v>600882.0560000001</v>
      </c>
    </row>
    <row r="61" spans="1:4" ht="15.75">
      <c r="A61" s="258" t="s">
        <v>125</v>
      </c>
      <c r="B61" s="259" t="s">
        <v>32</v>
      </c>
      <c r="C61" s="260"/>
      <c r="D61" s="321">
        <f>D62</f>
        <v>102825.988</v>
      </c>
    </row>
    <row r="62" spans="1:4" ht="15.75">
      <c r="A62" s="261" t="s">
        <v>220</v>
      </c>
      <c r="B62" s="259" t="s">
        <v>32</v>
      </c>
      <c r="C62" s="260" t="s">
        <v>206</v>
      </c>
      <c r="D62" s="51">
        <f>D63</f>
        <v>102825.988</v>
      </c>
    </row>
    <row r="63" spans="1:4" s="13" customFormat="1" ht="15.75">
      <c r="A63" s="262" t="s">
        <v>221</v>
      </c>
      <c r="B63" s="259" t="s">
        <v>32</v>
      </c>
      <c r="C63" s="260" t="s">
        <v>222</v>
      </c>
      <c r="D63" s="51">
        <v>102825.988</v>
      </c>
    </row>
    <row r="64" spans="1:4" ht="15.75">
      <c r="A64" s="263" t="s">
        <v>253</v>
      </c>
      <c r="B64" s="259" t="s">
        <v>259</v>
      </c>
      <c r="C64" s="260"/>
      <c r="D64" s="51">
        <f>D65</f>
        <v>908.9</v>
      </c>
    </row>
    <row r="65" spans="1:4" ht="15.75">
      <c r="A65" s="261" t="s">
        <v>220</v>
      </c>
      <c r="B65" s="259" t="s">
        <v>259</v>
      </c>
      <c r="C65" s="260" t="s">
        <v>206</v>
      </c>
      <c r="D65" s="51">
        <f>D66</f>
        <v>908.9</v>
      </c>
    </row>
    <row r="66" spans="1:4" ht="15.75">
      <c r="A66" s="262" t="s">
        <v>221</v>
      </c>
      <c r="B66" s="259" t="s">
        <v>259</v>
      </c>
      <c r="C66" s="260" t="s">
        <v>222</v>
      </c>
      <c r="D66" s="51">
        <v>908.9</v>
      </c>
    </row>
    <row r="67" spans="1:4" ht="15.75">
      <c r="A67" s="263" t="s">
        <v>564</v>
      </c>
      <c r="B67" s="259" t="s">
        <v>566</v>
      </c>
      <c r="C67" s="260"/>
      <c r="D67" s="51">
        <f>D68</f>
        <v>3198.5</v>
      </c>
    </row>
    <row r="68" spans="1:4" ht="15.75">
      <c r="A68" s="261" t="s">
        <v>220</v>
      </c>
      <c r="B68" s="259" t="s">
        <v>566</v>
      </c>
      <c r="C68" s="260" t="s">
        <v>206</v>
      </c>
      <c r="D68" s="51">
        <f>D69</f>
        <v>3198.5</v>
      </c>
    </row>
    <row r="69" spans="1:4" ht="15.75">
      <c r="A69" s="262" t="s">
        <v>221</v>
      </c>
      <c r="B69" s="259" t="s">
        <v>566</v>
      </c>
      <c r="C69" s="260" t="s">
        <v>222</v>
      </c>
      <c r="D69" s="51">
        <v>3198.5</v>
      </c>
    </row>
    <row r="70" spans="1:4" ht="15.75">
      <c r="A70" s="263" t="s">
        <v>8</v>
      </c>
      <c r="B70" s="259" t="s">
        <v>648</v>
      </c>
      <c r="C70" s="260"/>
      <c r="D70" s="51">
        <f>D71</f>
        <v>2345</v>
      </c>
    </row>
    <row r="71" spans="1:4" ht="15.75">
      <c r="A71" s="261" t="s">
        <v>220</v>
      </c>
      <c r="B71" s="259" t="s">
        <v>648</v>
      </c>
      <c r="C71" s="260" t="s">
        <v>206</v>
      </c>
      <c r="D71" s="51">
        <f>D72</f>
        <v>2345</v>
      </c>
    </row>
    <row r="72" spans="1:4" ht="15.75">
      <c r="A72" s="262" t="s">
        <v>221</v>
      </c>
      <c r="B72" s="259" t="s">
        <v>648</v>
      </c>
      <c r="C72" s="260" t="s">
        <v>222</v>
      </c>
      <c r="D72" s="51">
        <v>2345</v>
      </c>
    </row>
    <row r="73" spans="1:4" s="36" customFormat="1" ht="12.75">
      <c r="A73" s="263" t="s">
        <v>432</v>
      </c>
      <c r="B73" s="259" t="s">
        <v>369</v>
      </c>
      <c r="C73" s="260"/>
      <c r="D73" s="51">
        <f>D74</f>
        <v>4955</v>
      </c>
    </row>
    <row r="74" spans="1:4" s="36" customFormat="1" ht="12.75">
      <c r="A74" s="261" t="s">
        <v>220</v>
      </c>
      <c r="B74" s="259" t="s">
        <v>369</v>
      </c>
      <c r="C74" s="260" t="s">
        <v>206</v>
      </c>
      <c r="D74" s="51">
        <f>D75</f>
        <v>4955</v>
      </c>
    </row>
    <row r="75" spans="1:6" s="36" customFormat="1" ht="12.75">
      <c r="A75" s="262" t="s">
        <v>221</v>
      </c>
      <c r="B75" s="259" t="s">
        <v>369</v>
      </c>
      <c r="C75" s="260" t="s">
        <v>222</v>
      </c>
      <c r="D75" s="51">
        <v>4955</v>
      </c>
      <c r="E75" s="41"/>
      <c r="F75" s="42"/>
    </row>
    <row r="76" spans="1:4" s="36" customFormat="1" ht="12.75">
      <c r="A76" s="263" t="s">
        <v>323</v>
      </c>
      <c r="B76" s="259" t="s">
        <v>33</v>
      </c>
      <c r="C76" s="260"/>
      <c r="D76" s="51">
        <f>D77</f>
        <v>1038.138</v>
      </c>
    </row>
    <row r="77" spans="1:4" s="36" customFormat="1" ht="12.75">
      <c r="A77" s="261" t="s">
        <v>220</v>
      </c>
      <c r="B77" s="259" t="s">
        <v>33</v>
      </c>
      <c r="C77" s="260" t="s">
        <v>206</v>
      </c>
      <c r="D77" s="51">
        <f>D78</f>
        <v>1038.138</v>
      </c>
    </row>
    <row r="78" spans="1:14" s="36" customFormat="1" ht="12.75">
      <c r="A78" s="262" t="s">
        <v>221</v>
      </c>
      <c r="B78" s="259" t="s">
        <v>33</v>
      </c>
      <c r="C78" s="260" t="s">
        <v>222</v>
      </c>
      <c r="D78" s="51">
        <v>1038.138</v>
      </c>
      <c r="N78" s="23"/>
    </row>
    <row r="79" spans="1:4" s="36" customFormat="1" ht="12.75">
      <c r="A79" s="263" t="s">
        <v>324</v>
      </c>
      <c r="B79" s="259" t="s">
        <v>34</v>
      </c>
      <c r="C79" s="260"/>
      <c r="D79" s="51">
        <f>D83+D80</f>
        <v>158.8</v>
      </c>
    </row>
    <row r="80" spans="1:4" s="36" customFormat="1" ht="12.75">
      <c r="A80" s="266" t="s">
        <v>102</v>
      </c>
      <c r="B80" s="259" t="s">
        <v>34</v>
      </c>
      <c r="C80" s="260" t="s">
        <v>98</v>
      </c>
      <c r="D80" s="51">
        <f>D81+D82</f>
        <v>5</v>
      </c>
    </row>
    <row r="81" spans="1:4" s="36" customFormat="1" ht="12.75">
      <c r="A81" s="262" t="s">
        <v>97</v>
      </c>
      <c r="B81" s="259" t="s">
        <v>34</v>
      </c>
      <c r="C81" s="260" t="s">
        <v>99</v>
      </c>
      <c r="D81" s="51">
        <f>89.4-89.4</f>
        <v>0</v>
      </c>
    </row>
    <row r="82" spans="1:14" s="36" customFormat="1" ht="12.75">
      <c r="A82" s="264" t="s">
        <v>275</v>
      </c>
      <c r="B82" s="259" t="s">
        <v>34</v>
      </c>
      <c r="C82" s="260" t="s">
        <v>274</v>
      </c>
      <c r="D82" s="51">
        <f>72.4-67.4</f>
        <v>5</v>
      </c>
      <c r="N82" s="23"/>
    </row>
    <row r="83" spans="1:4" s="36" customFormat="1" ht="12.75">
      <c r="A83" s="261" t="s">
        <v>220</v>
      </c>
      <c r="B83" s="259" t="s">
        <v>34</v>
      </c>
      <c r="C83" s="260" t="s">
        <v>206</v>
      </c>
      <c r="D83" s="51">
        <f>D84</f>
        <v>153.8</v>
      </c>
    </row>
    <row r="84" spans="1:4" s="36" customFormat="1" ht="12.75">
      <c r="A84" s="262" t="s">
        <v>221</v>
      </c>
      <c r="B84" s="259" t="s">
        <v>34</v>
      </c>
      <c r="C84" s="260" t="s">
        <v>222</v>
      </c>
      <c r="D84" s="51">
        <v>153.8</v>
      </c>
    </row>
    <row r="85" spans="1:4" s="36" customFormat="1" ht="12.75">
      <c r="A85" s="263" t="s">
        <v>325</v>
      </c>
      <c r="B85" s="259" t="s">
        <v>35</v>
      </c>
      <c r="C85" s="260"/>
      <c r="D85" s="51">
        <f>D86</f>
        <v>4168.1</v>
      </c>
    </row>
    <row r="86" spans="1:4" s="36" customFormat="1" ht="12.75">
      <c r="A86" s="261" t="s">
        <v>220</v>
      </c>
      <c r="B86" s="259" t="s">
        <v>35</v>
      </c>
      <c r="C86" s="260" t="s">
        <v>206</v>
      </c>
      <c r="D86" s="51">
        <f>D87</f>
        <v>4168.1</v>
      </c>
    </row>
    <row r="87" spans="1:4" s="36" customFormat="1" ht="12.75">
      <c r="A87" s="262" t="s">
        <v>221</v>
      </c>
      <c r="B87" s="259" t="s">
        <v>35</v>
      </c>
      <c r="C87" s="260" t="s">
        <v>222</v>
      </c>
      <c r="D87" s="51">
        <f>3781.3-13.2+400</f>
        <v>4168.1</v>
      </c>
    </row>
    <row r="88" spans="1:4" s="36" customFormat="1" ht="12.75">
      <c r="A88" s="262" t="s">
        <v>430</v>
      </c>
      <c r="B88" s="259" t="s">
        <v>575</v>
      </c>
      <c r="C88" s="260"/>
      <c r="D88" s="51">
        <f>D89</f>
        <v>37</v>
      </c>
    </row>
    <row r="89" spans="1:4" s="36" customFormat="1" ht="12.75">
      <c r="A89" s="261" t="s">
        <v>220</v>
      </c>
      <c r="B89" s="259" t="s">
        <v>575</v>
      </c>
      <c r="C89" s="260" t="s">
        <v>206</v>
      </c>
      <c r="D89" s="51">
        <f>D90</f>
        <v>37</v>
      </c>
    </row>
    <row r="90" spans="1:4" s="36" customFormat="1" ht="12.75">
      <c r="A90" s="262" t="s">
        <v>221</v>
      </c>
      <c r="B90" s="259" t="s">
        <v>575</v>
      </c>
      <c r="C90" s="260" t="s">
        <v>222</v>
      </c>
      <c r="D90" s="51">
        <v>37</v>
      </c>
    </row>
    <row r="91" spans="1:4" s="36" customFormat="1" ht="12.75">
      <c r="A91" s="263" t="s">
        <v>309</v>
      </c>
      <c r="B91" s="259" t="s">
        <v>310</v>
      </c>
      <c r="C91" s="260"/>
      <c r="D91" s="51">
        <f>D92</f>
        <v>1969.2</v>
      </c>
    </row>
    <row r="92" spans="1:4" s="36" customFormat="1" ht="12.75">
      <c r="A92" s="261" t="s">
        <v>220</v>
      </c>
      <c r="B92" s="259" t="s">
        <v>310</v>
      </c>
      <c r="C92" s="260" t="s">
        <v>206</v>
      </c>
      <c r="D92" s="51">
        <f>D93</f>
        <v>1969.2</v>
      </c>
    </row>
    <row r="93" spans="1:4" s="36" customFormat="1" ht="12.75">
      <c r="A93" s="262" t="s">
        <v>221</v>
      </c>
      <c r="B93" s="259" t="s">
        <v>310</v>
      </c>
      <c r="C93" s="260" t="s">
        <v>222</v>
      </c>
      <c r="D93" s="51">
        <f>2046.9-77.7</f>
        <v>1969.2</v>
      </c>
    </row>
    <row r="94" spans="1:9" s="20" customFormat="1" ht="24">
      <c r="A94" s="262" t="s">
        <v>519</v>
      </c>
      <c r="B94" s="259" t="s">
        <v>520</v>
      </c>
      <c r="C94" s="260"/>
      <c r="D94" s="51">
        <f>D95</f>
        <v>22583.3</v>
      </c>
      <c r="I94" s="32"/>
    </row>
    <row r="95" spans="1:9" s="20" customFormat="1" ht="12.75">
      <c r="A95" s="262" t="s">
        <v>220</v>
      </c>
      <c r="B95" s="259" t="s">
        <v>520</v>
      </c>
      <c r="C95" s="260" t="s">
        <v>206</v>
      </c>
      <c r="D95" s="51">
        <f>D96</f>
        <v>22583.3</v>
      </c>
      <c r="I95" s="32"/>
    </row>
    <row r="96" spans="1:9" s="20" customFormat="1" ht="12.75">
      <c r="A96" s="262" t="s">
        <v>221</v>
      </c>
      <c r="B96" s="259" t="s">
        <v>520</v>
      </c>
      <c r="C96" s="260" t="s">
        <v>222</v>
      </c>
      <c r="D96" s="51">
        <v>22583.3</v>
      </c>
      <c r="I96" s="32"/>
    </row>
    <row r="97" spans="1:9" s="20" customFormat="1" ht="12.75">
      <c r="A97" s="359" t="s">
        <v>671</v>
      </c>
      <c r="B97" s="268" t="s">
        <v>670</v>
      </c>
      <c r="C97" s="259"/>
      <c r="D97" s="51">
        <f>D98</f>
        <v>484</v>
      </c>
      <c r="I97" s="32"/>
    </row>
    <row r="98" spans="1:9" s="20" customFormat="1" ht="12.75">
      <c r="A98" s="261" t="s">
        <v>220</v>
      </c>
      <c r="B98" s="268" t="s">
        <v>670</v>
      </c>
      <c r="C98" s="259" t="s">
        <v>206</v>
      </c>
      <c r="D98" s="51">
        <f>D99</f>
        <v>484</v>
      </c>
      <c r="I98" s="32"/>
    </row>
    <row r="99" spans="1:9" s="20" customFormat="1" ht="12.75">
      <c r="A99" s="348" t="s">
        <v>221</v>
      </c>
      <c r="B99" s="268" t="s">
        <v>670</v>
      </c>
      <c r="C99" s="259" t="s">
        <v>222</v>
      </c>
      <c r="D99" s="51">
        <v>484</v>
      </c>
      <c r="I99" s="32"/>
    </row>
    <row r="100" spans="1:9" s="20" customFormat="1" ht="135">
      <c r="A100" s="359" t="s">
        <v>692</v>
      </c>
      <c r="B100" s="268" t="s">
        <v>693</v>
      </c>
      <c r="C100" s="259"/>
      <c r="D100" s="51">
        <f>D101</f>
        <v>14.7</v>
      </c>
      <c r="I100" s="32"/>
    </row>
    <row r="101" spans="1:9" s="20" customFormat="1" ht="12.75">
      <c r="A101" s="261" t="s">
        <v>220</v>
      </c>
      <c r="B101" s="268" t="s">
        <v>693</v>
      </c>
      <c r="C101" s="259" t="s">
        <v>206</v>
      </c>
      <c r="D101" s="51">
        <f>D102</f>
        <v>14.7</v>
      </c>
      <c r="I101" s="32"/>
    </row>
    <row r="102" spans="1:9" s="20" customFormat="1" ht="12.75">
      <c r="A102" s="348" t="s">
        <v>221</v>
      </c>
      <c r="B102" s="268" t="s">
        <v>693</v>
      </c>
      <c r="C102" s="259" t="s">
        <v>222</v>
      </c>
      <c r="D102" s="51">
        <v>14.7</v>
      </c>
      <c r="I102" s="32"/>
    </row>
    <row r="103" spans="1:9" s="20" customFormat="1" ht="24">
      <c r="A103" s="264" t="s">
        <v>650</v>
      </c>
      <c r="B103" s="268" t="s">
        <v>649</v>
      </c>
      <c r="C103" s="259"/>
      <c r="D103" s="51">
        <f>D104</f>
        <v>2276</v>
      </c>
      <c r="I103" s="32"/>
    </row>
    <row r="104" spans="1:9" s="20" customFormat="1" ht="12.75">
      <c r="A104" s="261" t="s">
        <v>220</v>
      </c>
      <c r="B104" s="268" t="s">
        <v>649</v>
      </c>
      <c r="C104" s="259" t="s">
        <v>206</v>
      </c>
      <c r="D104" s="51">
        <f>D105</f>
        <v>2276</v>
      </c>
      <c r="I104" s="32"/>
    </row>
    <row r="105" spans="1:9" s="20" customFormat="1" ht="12.75">
      <c r="A105" s="348" t="s">
        <v>221</v>
      </c>
      <c r="B105" s="268" t="s">
        <v>649</v>
      </c>
      <c r="C105" s="259" t="s">
        <v>222</v>
      </c>
      <c r="D105" s="51">
        <v>2276</v>
      </c>
      <c r="I105" s="32"/>
    </row>
    <row r="106" spans="1:4" s="36" customFormat="1" ht="24">
      <c r="A106" s="264" t="s">
        <v>665</v>
      </c>
      <c r="B106" s="259" t="s">
        <v>666</v>
      </c>
      <c r="C106" s="260"/>
      <c r="D106" s="321">
        <f>D107</f>
        <v>1094</v>
      </c>
    </row>
    <row r="107" spans="1:4" s="36" customFormat="1" ht="12.75">
      <c r="A107" s="261" t="s">
        <v>220</v>
      </c>
      <c r="B107" s="259" t="s">
        <v>666</v>
      </c>
      <c r="C107" s="260" t="s">
        <v>206</v>
      </c>
      <c r="D107" s="321">
        <f>D108</f>
        <v>1094</v>
      </c>
    </row>
    <row r="108" spans="1:4" s="36" customFormat="1" ht="12.75">
      <c r="A108" s="262" t="s">
        <v>221</v>
      </c>
      <c r="B108" s="259" t="s">
        <v>666</v>
      </c>
      <c r="C108" s="260" t="s">
        <v>222</v>
      </c>
      <c r="D108" s="321">
        <v>1094</v>
      </c>
    </row>
    <row r="109" spans="1:7" ht="15.75">
      <c r="A109" s="264" t="s">
        <v>680</v>
      </c>
      <c r="B109" s="259" t="s">
        <v>688</v>
      </c>
      <c r="C109" s="260"/>
      <c r="D109" s="51">
        <f aca="true" t="shared" si="2" ref="D109:F110">D110</f>
        <v>6712.4</v>
      </c>
      <c r="E109" s="99">
        <f t="shared" si="2"/>
        <v>0</v>
      </c>
      <c r="F109" s="99" t="e">
        <f t="shared" si="2"/>
        <v>#REF!</v>
      </c>
      <c r="G109" s="352"/>
    </row>
    <row r="110" spans="1:7" ht="15.75">
      <c r="A110" s="261" t="s">
        <v>220</v>
      </c>
      <c r="B110" s="259" t="s">
        <v>688</v>
      </c>
      <c r="C110" s="260" t="s">
        <v>206</v>
      </c>
      <c r="D110" s="51">
        <f t="shared" si="2"/>
        <v>6712.4</v>
      </c>
      <c r="E110" s="99">
        <f t="shared" si="2"/>
        <v>0</v>
      </c>
      <c r="F110" s="99" t="e">
        <f t="shared" si="2"/>
        <v>#REF!</v>
      </c>
      <c r="G110" s="352"/>
    </row>
    <row r="111" spans="1:9" ht="15.75">
      <c r="A111" s="262" t="s">
        <v>221</v>
      </c>
      <c r="B111" s="259" t="s">
        <v>688</v>
      </c>
      <c r="C111" s="260" t="s">
        <v>222</v>
      </c>
      <c r="D111" s="51">
        <v>6712.4</v>
      </c>
      <c r="E111" s="99">
        <v>0</v>
      </c>
      <c r="F111" s="74" t="e">
        <f>#REF!-E111</f>
        <v>#REF!</v>
      </c>
      <c r="G111" s="353"/>
      <c r="I111" s="40">
        <f>D111+D53</f>
        <v>8335.242</v>
      </c>
    </row>
    <row r="112" spans="1:9" ht="15.75">
      <c r="A112" s="264" t="s">
        <v>619</v>
      </c>
      <c r="B112" s="259" t="s">
        <v>618</v>
      </c>
      <c r="C112" s="260"/>
      <c r="D112" s="51">
        <f>D113</f>
        <v>8790.7</v>
      </c>
      <c r="E112" s="354"/>
      <c r="F112" s="352"/>
      <c r="G112" s="353"/>
      <c r="I112" s="40"/>
    </row>
    <row r="113" spans="1:9" ht="15.75">
      <c r="A113" s="261" t="s">
        <v>220</v>
      </c>
      <c r="B113" s="259" t="s">
        <v>618</v>
      </c>
      <c r="C113" s="260" t="s">
        <v>206</v>
      </c>
      <c r="D113" s="51">
        <f>D114</f>
        <v>8790.7</v>
      </c>
      <c r="E113" s="354"/>
      <c r="F113" s="352"/>
      <c r="G113" s="353"/>
      <c r="I113" s="40"/>
    </row>
    <row r="114" spans="1:9" ht="15.75">
      <c r="A114" s="262" t="s">
        <v>221</v>
      </c>
      <c r="B114" s="259" t="s">
        <v>618</v>
      </c>
      <c r="C114" s="260" t="s">
        <v>222</v>
      </c>
      <c r="D114" s="51">
        <v>8790.7</v>
      </c>
      <c r="E114" s="354"/>
      <c r="F114" s="352"/>
      <c r="G114" s="353"/>
      <c r="I114" s="40"/>
    </row>
    <row r="115" spans="1:4" s="36" customFormat="1" ht="36">
      <c r="A115" s="264" t="s">
        <v>295</v>
      </c>
      <c r="B115" s="259" t="s">
        <v>290</v>
      </c>
      <c r="C115" s="260"/>
      <c r="D115" s="321">
        <f>D116</f>
        <v>5373.1</v>
      </c>
    </row>
    <row r="116" spans="1:4" s="36" customFormat="1" ht="12.75">
      <c r="A116" s="261" t="s">
        <v>220</v>
      </c>
      <c r="B116" s="259" t="s">
        <v>290</v>
      </c>
      <c r="C116" s="260" t="s">
        <v>206</v>
      </c>
      <c r="D116" s="321">
        <f>D117</f>
        <v>5373.1</v>
      </c>
    </row>
    <row r="117" spans="1:4" s="36" customFormat="1" ht="12.75">
      <c r="A117" s="262" t="s">
        <v>221</v>
      </c>
      <c r="B117" s="259" t="s">
        <v>290</v>
      </c>
      <c r="C117" s="260" t="s">
        <v>222</v>
      </c>
      <c r="D117" s="321">
        <f>4087+1286.1</f>
        <v>5373.1</v>
      </c>
    </row>
    <row r="118" spans="1:4" s="36" customFormat="1" ht="12.75">
      <c r="A118" s="263" t="s">
        <v>333</v>
      </c>
      <c r="B118" s="259" t="s">
        <v>43</v>
      </c>
      <c r="C118" s="260"/>
      <c r="D118" s="321">
        <f>D119</f>
        <v>247743.4</v>
      </c>
    </row>
    <row r="119" spans="1:4" s="36" customFormat="1" ht="12.75">
      <c r="A119" s="261" t="s">
        <v>220</v>
      </c>
      <c r="B119" s="259" t="s">
        <v>43</v>
      </c>
      <c r="C119" s="260" t="s">
        <v>206</v>
      </c>
      <c r="D119" s="321">
        <f>D120</f>
        <v>247743.4</v>
      </c>
    </row>
    <row r="120" spans="1:4" s="36" customFormat="1" ht="12.75">
      <c r="A120" s="262" t="s">
        <v>221</v>
      </c>
      <c r="B120" s="259" t="s">
        <v>43</v>
      </c>
      <c r="C120" s="260" t="s">
        <v>222</v>
      </c>
      <c r="D120" s="51">
        <v>247743.4</v>
      </c>
    </row>
    <row r="121" spans="1:4" s="36" customFormat="1" ht="24">
      <c r="A121" s="267" t="s">
        <v>647</v>
      </c>
      <c r="B121" s="268" t="s">
        <v>646</v>
      </c>
      <c r="C121" s="259"/>
      <c r="D121" s="51">
        <f>D122</f>
        <v>5471.6</v>
      </c>
    </row>
    <row r="122" spans="1:4" s="36" customFormat="1" ht="12.75">
      <c r="A122" s="261" t="s">
        <v>220</v>
      </c>
      <c r="B122" s="268" t="s">
        <v>646</v>
      </c>
      <c r="C122" s="259" t="s">
        <v>206</v>
      </c>
      <c r="D122" s="51">
        <f>D123</f>
        <v>5471.6</v>
      </c>
    </row>
    <row r="123" spans="1:4" s="36" customFormat="1" ht="12.75">
      <c r="A123" s="261" t="s">
        <v>221</v>
      </c>
      <c r="B123" s="268" t="s">
        <v>646</v>
      </c>
      <c r="C123" s="259" t="s">
        <v>222</v>
      </c>
      <c r="D123" s="51">
        <v>5471.6</v>
      </c>
    </row>
    <row r="124" spans="1:4" s="36" customFormat="1" ht="24">
      <c r="A124" s="262" t="s">
        <v>444</v>
      </c>
      <c r="B124" s="259" t="s">
        <v>568</v>
      </c>
      <c r="C124" s="260"/>
      <c r="D124" s="51">
        <f>D125</f>
        <v>17515.75</v>
      </c>
    </row>
    <row r="125" spans="1:4" s="36" customFormat="1" ht="12.75">
      <c r="A125" s="262" t="s">
        <v>317</v>
      </c>
      <c r="B125" s="259" t="s">
        <v>568</v>
      </c>
      <c r="C125" s="260" t="s">
        <v>206</v>
      </c>
      <c r="D125" s="51">
        <f>D126</f>
        <v>17515.75</v>
      </c>
    </row>
    <row r="126" spans="1:4" s="36" customFormat="1" ht="12.75">
      <c r="A126" s="262" t="s">
        <v>221</v>
      </c>
      <c r="B126" s="259" t="s">
        <v>568</v>
      </c>
      <c r="C126" s="260" t="s">
        <v>222</v>
      </c>
      <c r="D126" s="51">
        <v>17515.75</v>
      </c>
    </row>
    <row r="127" spans="1:4" s="36" customFormat="1" ht="12.75">
      <c r="A127" s="264" t="s">
        <v>620</v>
      </c>
      <c r="B127" s="259" t="s">
        <v>621</v>
      </c>
      <c r="C127" s="260"/>
      <c r="D127" s="51">
        <f>D128</f>
        <v>132858.7</v>
      </c>
    </row>
    <row r="128" spans="1:4" s="36" customFormat="1" ht="12.75">
      <c r="A128" s="261" t="s">
        <v>220</v>
      </c>
      <c r="B128" s="259" t="s">
        <v>621</v>
      </c>
      <c r="C128" s="260" t="s">
        <v>206</v>
      </c>
      <c r="D128" s="51">
        <f>D129</f>
        <v>132858.7</v>
      </c>
    </row>
    <row r="129" spans="1:4" s="36" customFormat="1" ht="12.75">
      <c r="A129" s="262" t="s">
        <v>221</v>
      </c>
      <c r="B129" s="259" t="s">
        <v>621</v>
      </c>
      <c r="C129" s="260" t="s">
        <v>222</v>
      </c>
      <c r="D129" s="51">
        <f>118066.3+11094.3+3698.1</f>
        <v>132858.7</v>
      </c>
    </row>
    <row r="130" spans="1:4" s="36" customFormat="1" ht="12.75">
      <c r="A130" s="269" t="s">
        <v>632</v>
      </c>
      <c r="B130" s="259" t="s">
        <v>631</v>
      </c>
      <c r="C130" s="260"/>
      <c r="D130" s="51">
        <f>D131</f>
        <v>21632.8</v>
      </c>
    </row>
    <row r="131" spans="1:4" s="36" customFormat="1" ht="12.75">
      <c r="A131" s="262" t="s">
        <v>265</v>
      </c>
      <c r="B131" s="259" t="s">
        <v>631</v>
      </c>
      <c r="C131" s="260" t="s">
        <v>229</v>
      </c>
      <c r="D131" s="51">
        <f>D132</f>
        <v>21632.8</v>
      </c>
    </row>
    <row r="132" spans="1:4" s="32" customFormat="1" ht="48">
      <c r="A132" s="262" t="s">
        <v>654</v>
      </c>
      <c r="B132" s="259" t="s">
        <v>631</v>
      </c>
      <c r="C132" s="260" t="s">
        <v>653</v>
      </c>
      <c r="D132" s="51">
        <v>21632.8</v>
      </c>
    </row>
    <row r="133" spans="1:4" s="32" customFormat="1" ht="36">
      <c r="A133" s="262" t="s">
        <v>565</v>
      </c>
      <c r="B133" s="268" t="s">
        <v>672</v>
      </c>
      <c r="C133" s="260"/>
      <c r="D133" s="51">
        <f>D134</f>
        <v>9.68</v>
      </c>
    </row>
    <row r="134" spans="1:4" s="32" customFormat="1" ht="12.75">
      <c r="A134" s="261" t="s">
        <v>220</v>
      </c>
      <c r="B134" s="268" t="s">
        <v>672</v>
      </c>
      <c r="C134" s="260" t="s">
        <v>206</v>
      </c>
      <c r="D134" s="51">
        <f>D135</f>
        <v>9.68</v>
      </c>
    </row>
    <row r="135" spans="1:4" s="32" customFormat="1" ht="12.75">
      <c r="A135" s="262" t="s">
        <v>221</v>
      </c>
      <c r="B135" s="268" t="s">
        <v>672</v>
      </c>
      <c r="C135" s="260" t="s">
        <v>222</v>
      </c>
      <c r="D135" s="51">
        <v>9.68</v>
      </c>
    </row>
    <row r="136" spans="1:4" s="36" customFormat="1" ht="36">
      <c r="A136" s="262" t="s">
        <v>471</v>
      </c>
      <c r="B136" s="259" t="s">
        <v>470</v>
      </c>
      <c r="C136" s="260"/>
      <c r="D136" s="51">
        <f>D137</f>
        <v>1771.7</v>
      </c>
    </row>
    <row r="137" spans="1:4" s="36" customFormat="1" ht="12.75">
      <c r="A137" s="261" t="s">
        <v>220</v>
      </c>
      <c r="B137" s="259" t="s">
        <v>470</v>
      </c>
      <c r="C137" s="260" t="s">
        <v>206</v>
      </c>
      <c r="D137" s="51">
        <f>D138</f>
        <v>1771.7</v>
      </c>
    </row>
    <row r="138" spans="1:4" s="36" customFormat="1" ht="12.75">
      <c r="A138" s="262" t="s">
        <v>221</v>
      </c>
      <c r="B138" s="259" t="s">
        <v>470</v>
      </c>
      <c r="C138" s="260" t="s">
        <v>222</v>
      </c>
      <c r="D138" s="51">
        <v>1771.7</v>
      </c>
    </row>
    <row r="139" spans="1:4" s="36" customFormat="1" ht="24">
      <c r="A139" s="262" t="s">
        <v>446</v>
      </c>
      <c r="B139" s="259" t="s">
        <v>445</v>
      </c>
      <c r="C139" s="260"/>
      <c r="D139" s="51">
        <f>D140</f>
        <v>44.6</v>
      </c>
    </row>
    <row r="140" spans="1:4" s="36" customFormat="1" ht="12.75">
      <c r="A140" s="262" t="s">
        <v>317</v>
      </c>
      <c r="B140" s="259" t="s">
        <v>445</v>
      </c>
      <c r="C140" s="260" t="s">
        <v>206</v>
      </c>
      <c r="D140" s="51">
        <f>D141</f>
        <v>44.6</v>
      </c>
    </row>
    <row r="141" spans="1:4" s="36" customFormat="1" ht="12.75">
      <c r="A141" s="262" t="s">
        <v>221</v>
      </c>
      <c r="B141" s="259" t="s">
        <v>445</v>
      </c>
      <c r="C141" s="260" t="s">
        <v>222</v>
      </c>
      <c r="D141" s="51">
        <f>41.9+2.7</f>
        <v>44.6</v>
      </c>
    </row>
    <row r="142" spans="1:4" s="32" customFormat="1" ht="24">
      <c r="A142" s="262" t="s">
        <v>473</v>
      </c>
      <c r="B142" s="259" t="s">
        <v>472</v>
      </c>
      <c r="C142" s="260"/>
      <c r="D142" s="51">
        <f>D143</f>
        <v>92</v>
      </c>
    </row>
    <row r="143" spans="1:4" s="32" customFormat="1" ht="12.75">
      <c r="A143" s="266" t="s">
        <v>102</v>
      </c>
      <c r="B143" s="259" t="s">
        <v>472</v>
      </c>
      <c r="C143" s="260" t="s">
        <v>98</v>
      </c>
      <c r="D143" s="51">
        <f>D144</f>
        <v>92</v>
      </c>
    </row>
    <row r="144" spans="1:4" s="32" customFormat="1" ht="12.75">
      <c r="A144" s="262" t="s">
        <v>97</v>
      </c>
      <c r="B144" s="259" t="s">
        <v>472</v>
      </c>
      <c r="C144" s="260" t="s">
        <v>99</v>
      </c>
      <c r="D144" s="51">
        <v>92</v>
      </c>
    </row>
    <row r="145" spans="1:4" s="32" customFormat="1" ht="48">
      <c r="A145" s="265" t="s">
        <v>298</v>
      </c>
      <c r="B145" s="259" t="s">
        <v>567</v>
      </c>
      <c r="C145" s="260"/>
      <c r="D145" s="51">
        <f>D146</f>
        <v>219.7</v>
      </c>
    </row>
    <row r="146" spans="1:14" s="36" customFormat="1" ht="12.75">
      <c r="A146" s="261" t="s">
        <v>220</v>
      </c>
      <c r="B146" s="259" t="s">
        <v>567</v>
      </c>
      <c r="C146" s="260" t="s">
        <v>206</v>
      </c>
      <c r="D146" s="51">
        <f>D147</f>
        <v>219.7</v>
      </c>
      <c r="N146" s="43"/>
    </row>
    <row r="147" spans="1:14" s="36" customFormat="1" ht="12.75">
      <c r="A147" s="262" t="s">
        <v>221</v>
      </c>
      <c r="B147" s="259" t="s">
        <v>567</v>
      </c>
      <c r="C147" s="260" t="s">
        <v>222</v>
      </c>
      <c r="D147" s="51">
        <v>219.7</v>
      </c>
      <c r="N147" s="43"/>
    </row>
    <row r="148" spans="1:14" s="36" customFormat="1" ht="24">
      <c r="A148" s="262" t="s">
        <v>297</v>
      </c>
      <c r="B148" s="259" t="s">
        <v>311</v>
      </c>
      <c r="C148" s="260"/>
      <c r="D148" s="51">
        <f aca="true" t="shared" si="3" ref="D148:D155">D149</f>
        <v>514</v>
      </c>
      <c r="N148" s="43"/>
    </row>
    <row r="149" spans="1:14" s="36" customFormat="1" ht="12.75">
      <c r="A149" s="262" t="s">
        <v>220</v>
      </c>
      <c r="B149" s="259" t="s">
        <v>311</v>
      </c>
      <c r="C149" s="260" t="s">
        <v>206</v>
      </c>
      <c r="D149" s="51">
        <f t="shared" si="3"/>
        <v>514</v>
      </c>
      <c r="N149" s="43"/>
    </row>
    <row r="150" spans="1:14" s="36" customFormat="1" ht="12.75">
      <c r="A150" s="262" t="s">
        <v>221</v>
      </c>
      <c r="B150" s="259" t="s">
        <v>311</v>
      </c>
      <c r="C150" s="260" t="s">
        <v>222</v>
      </c>
      <c r="D150" s="51">
        <v>514</v>
      </c>
      <c r="N150" s="43"/>
    </row>
    <row r="151" spans="1:14" s="36" customFormat="1" ht="24">
      <c r="A151" s="265" t="s">
        <v>634</v>
      </c>
      <c r="B151" s="259" t="s">
        <v>644</v>
      </c>
      <c r="C151" s="260"/>
      <c r="D151" s="51">
        <f t="shared" si="3"/>
        <v>2926.8</v>
      </c>
      <c r="N151" s="43"/>
    </row>
    <row r="152" spans="1:14" s="36" customFormat="1" ht="12.75">
      <c r="A152" s="262" t="s">
        <v>220</v>
      </c>
      <c r="B152" s="259" t="s">
        <v>644</v>
      </c>
      <c r="C152" s="260" t="s">
        <v>206</v>
      </c>
      <c r="D152" s="51">
        <f t="shared" si="3"/>
        <v>2926.8</v>
      </c>
      <c r="N152" s="43"/>
    </row>
    <row r="153" spans="1:4" s="32" customFormat="1" ht="12.75">
      <c r="A153" s="262" t="s">
        <v>221</v>
      </c>
      <c r="B153" s="259" t="s">
        <v>644</v>
      </c>
      <c r="C153" s="260" t="s">
        <v>222</v>
      </c>
      <c r="D153" s="51">
        <v>2926.8</v>
      </c>
    </row>
    <row r="154" spans="1:4" s="32" customFormat="1" ht="24">
      <c r="A154" s="265" t="s">
        <v>383</v>
      </c>
      <c r="B154" s="259" t="s">
        <v>384</v>
      </c>
      <c r="C154" s="260"/>
      <c r="D154" s="51">
        <f t="shared" si="3"/>
        <v>1148.5</v>
      </c>
    </row>
    <row r="155" spans="1:4" s="32" customFormat="1" ht="12.75">
      <c r="A155" s="262" t="s">
        <v>220</v>
      </c>
      <c r="B155" s="259" t="s">
        <v>384</v>
      </c>
      <c r="C155" s="260" t="s">
        <v>206</v>
      </c>
      <c r="D155" s="51">
        <f t="shared" si="3"/>
        <v>1148.5</v>
      </c>
    </row>
    <row r="156" spans="1:4" s="32" customFormat="1" ht="12.75">
      <c r="A156" s="262" t="s">
        <v>221</v>
      </c>
      <c r="B156" s="259" t="s">
        <v>384</v>
      </c>
      <c r="C156" s="260" t="s">
        <v>222</v>
      </c>
      <c r="D156" s="51">
        <v>1148.5</v>
      </c>
    </row>
    <row r="157" spans="1:4" s="32" customFormat="1" ht="12.75">
      <c r="A157" s="270" t="s">
        <v>442</v>
      </c>
      <c r="B157" s="271" t="s">
        <v>36</v>
      </c>
      <c r="C157" s="272"/>
      <c r="D157" s="50">
        <f>D158+D168+D174+D177++D180+D183+D186+D189+D161+D171+D192+D195</f>
        <v>27833.899999999998</v>
      </c>
    </row>
    <row r="158" spans="1:4" s="32" customFormat="1" ht="12.75">
      <c r="A158" s="168" t="s">
        <v>127</v>
      </c>
      <c r="B158" s="250" t="s">
        <v>37</v>
      </c>
      <c r="C158" s="251"/>
      <c r="D158" s="51">
        <f>D159</f>
        <v>12666.8</v>
      </c>
    </row>
    <row r="159" spans="1:4" s="32" customFormat="1" ht="12.75">
      <c r="A159" s="169" t="s">
        <v>220</v>
      </c>
      <c r="B159" s="250" t="s">
        <v>37</v>
      </c>
      <c r="C159" s="251" t="s">
        <v>206</v>
      </c>
      <c r="D159" s="51">
        <f>SUM(D160:D160)</f>
        <v>12666.8</v>
      </c>
    </row>
    <row r="160" spans="1:7" ht="15.75">
      <c r="A160" s="170" t="s">
        <v>225</v>
      </c>
      <c r="B160" s="250" t="s">
        <v>37</v>
      </c>
      <c r="C160" s="251" t="s">
        <v>226</v>
      </c>
      <c r="D160" s="51">
        <v>12666.8</v>
      </c>
      <c r="E160" s="54">
        <f>E161</f>
        <v>0</v>
      </c>
      <c r="F160" s="54">
        <f>F161</f>
        <v>0</v>
      </c>
      <c r="G160" s="55"/>
    </row>
    <row r="161" spans="1:7" ht="15.75">
      <c r="A161" s="262" t="s">
        <v>505</v>
      </c>
      <c r="B161" s="250" t="s">
        <v>504</v>
      </c>
      <c r="C161" s="251"/>
      <c r="D161" s="51">
        <f>D162+D166</f>
        <v>12624.900000000001</v>
      </c>
      <c r="E161" s="54">
        <f>E165</f>
        <v>0</v>
      </c>
      <c r="F161" s="54">
        <f>F165</f>
        <v>0</v>
      </c>
      <c r="G161" s="55"/>
    </row>
    <row r="162" spans="1:7" ht="15.75">
      <c r="A162" s="170" t="s">
        <v>220</v>
      </c>
      <c r="B162" s="250" t="s">
        <v>504</v>
      </c>
      <c r="C162" s="251" t="s">
        <v>206</v>
      </c>
      <c r="D162" s="51">
        <f>D164+D163+D165</f>
        <v>12359.400000000001</v>
      </c>
      <c r="E162" s="54"/>
      <c r="F162" s="54"/>
      <c r="G162" s="55"/>
    </row>
    <row r="163" spans="1:7" ht="15.75">
      <c r="A163" s="170" t="s">
        <v>221</v>
      </c>
      <c r="B163" s="250" t="s">
        <v>504</v>
      </c>
      <c r="C163" s="251" t="s">
        <v>222</v>
      </c>
      <c r="D163" s="51">
        <v>265.6</v>
      </c>
      <c r="E163" s="54"/>
      <c r="F163" s="54"/>
      <c r="G163" s="55"/>
    </row>
    <row r="164" spans="1:7" ht="15.75">
      <c r="A164" s="170" t="s">
        <v>227</v>
      </c>
      <c r="B164" s="250" t="s">
        <v>504</v>
      </c>
      <c r="C164" s="251" t="s">
        <v>226</v>
      </c>
      <c r="D164" s="51">
        <v>11828.2</v>
      </c>
      <c r="E164" s="54"/>
      <c r="F164" s="54"/>
      <c r="G164" s="55"/>
    </row>
    <row r="165" spans="1:7" ht="24.75">
      <c r="A165" s="170" t="s">
        <v>518</v>
      </c>
      <c r="B165" s="250" t="s">
        <v>504</v>
      </c>
      <c r="C165" s="251" t="s">
        <v>236</v>
      </c>
      <c r="D165" s="51">
        <v>265.6</v>
      </c>
      <c r="E165" s="54">
        <v>0</v>
      </c>
      <c r="F165" s="29">
        <f>G180-E165</f>
        <v>0</v>
      </c>
      <c r="G165" s="56"/>
    </row>
    <row r="166" spans="1:7" ht="15.75">
      <c r="A166" s="170" t="s">
        <v>107</v>
      </c>
      <c r="B166" s="250" t="s">
        <v>504</v>
      </c>
      <c r="C166" s="251" t="s">
        <v>100</v>
      </c>
      <c r="D166" s="51">
        <f>D167</f>
        <v>265.5</v>
      </c>
      <c r="E166" s="54">
        <f>E167</f>
        <v>0</v>
      </c>
      <c r="F166" s="54">
        <f>F167</f>
        <v>0</v>
      </c>
      <c r="G166" s="55"/>
    </row>
    <row r="167" spans="1:7" ht="24.75">
      <c r="A167" s="170" t="s">
        <v>266</v>
      </c>
      <c r="B167" s="250" t="s">
        <v>504</v>
      </c>
      <c r="C167" s="251" t="s">
        <v>101</v>
      </c>
      <c r="D167" s="51">
        <v>265.5</v>
      </c>
      <c r="E167" s="54">
        <f>E168</f>
        <v>0</v>
      </c>
      <c r="F167" s="54">
        <f>F168</f>
        <v>0</v>
      </c>
      <c r="G167" s="55"/>
    </row>
    <row r="168" spans="1:4" s="32" customFormat="1" ht="12.75">
      <c r="A168" s="273" t="s">
        <v>564</v>
      </c>
      <c r="B168" s="250" t="s">
        <v>655</v>
      </c>
      <c r="C168" s="251"/>
      <c r="D168" s="51">
        <f>D169</f>
        <v>296.8</v>
      </c>
    </row>
    <row r="169" spans="1:4" s="32" customFormat="1" ht="12.75">
      <c r="A169" s="169" t="s">
        <v>220</v>
      </c>
      <c r="B169" s="250" t="s">
        <v>655</v>
      </c>
      <c r="C169" s="251" t="s">
        <v>206</v>
      </c>
      <c r="D169" s="51">
        <f>D170</f>
        <v>296.8</v>
      </c>
    </row>
    <row r="170" spans="1:4" s="36" customFormat="1" ht="12.75">
      <c r="A170" s="170" t="s">
        <v>225</v>
      </c>
      <c r="B170" s="250" t="s">
        <v>655</v>
      </c>
      <c r="C170" s="251" t="s">
        <v>226</v>
      </c>
      <c r="D170" s="51">
        <f>96.8+200</f>
        <v>296.8</v>
      </c>
    </row>
    <row r="171" spans="1:4" s="36" customFormat="1" ht="12.75">
      <c r="A171" s="273" t="s">
        <v>253</v>
      </c>
      <c r="B171" s="250" t="s">
        <v>255</v>
      </c>
      <c r="C171" s="251"/>
      <c r="D171" s="51">
        <f>D172</f>
        <v>122.8</v>
      </c>
    </row>
    <row r="172" spans="1:4" s="36" customFormat="1" ht="12.75">
      <c r="A172" s="169" t="s">
        <v>220</v>
      </c>
      <c r="B172" s="250" t="s">
        <v>255</v>
      </c>
      <c r="C172" s="251" t="s">
        <v>206</v>
      </c>
      <c r="D172" s="51">
        <f>D173</f>
        <v>122.8</v>
      </c>
    </row>
    <row r="173" spans="1:14" s="36" customFormat="1" ht="12.75">
      <c r="A173" s="170" t="s">
        <v>225</v>
      </c>
      <c r="B173" s="250" t="s">
        <v>255</v>
      </c>
      <c r="C173" s="251" t="s">
        <v>226</v>
      </c>
      <c r="D173" s="51">
        <v>122.8</v>
      </c>
      <c r="N173" s="59"/>
    </row>
    <row r="174" spans="1:14" s="36" customFormat="1" ht="12.75">
      <c r="A174" s="170" t="s">
        <v>126</v>
      </c>
      <c r="B174" s="250" t="s">
        <v>390</v>
      </c>
      <c r="C174" s="251"/>
      <c r="D174" s="51">
        <f>D175</f>
        <v>20</v>
      </c>
      <c r="N174" s="59"/>
    </row>
    <row r="175" spans="1:14" s="36" customFormat="1" ht="12.75">
      <c r="A175" s="169" t="s">
        <v>220</v>
      </c>
      <c r="B175" s="250" t="s">
        <v>390</v>
      </c>
      <c r="C175" s="251" t="s">
        <v>206</v>
      </c>
      <c r="D175" s="51">
        <f>D176</f>
        <v>20</v>
      </c>
      <c r="N175" s="59"/>
    </row>
    <row r="176" spans="1:14" s="36" customFormat="1" ht="12.75">
      <c r="A176" s="170" t="s">
        <v>225</v>
      </c>
      <c r="B176" s="250" t="s">
        <v>390</v>
      </c>
      <c r="C176" s="251" t="s">
        <v>226</v>
      </c>
      <c r="D176" s="51">
        <v>20</v>
      </c>
      <c r="N176" s="59"/>
    </row>
    <row r="177" spans="1:9" s="20" customFormat="1" ht="12.75">
      <c r="A177" s="263" t="s">
        <v>368</v>
      </c>
      <c r="B177" s="250" t="s">
        <v>433</v>
      </c>
      <c r="C177" s="251"/>
      <c r="D177" s="51">
        <f>D178</f>
        <v>435</v>
      </c>
      <c r="I177" s="32"/>
    </row>
    <row r="178" spans="1:9" s="20" customFormat="1" ht="12.75">
      <c r="A178" s="169" t="s">
        <v>220</v>
      </c>
      <c r="B178" s="250" t="s">
        <v>433</v>
      </c>
      <c r="C178" s="251" t="s">
        <v>206</v>
      </c>
      <c r="D178" s="51">
        <f>D179</f>
        <v>435</v>
      </c>
      <c r="E178" s="21"/>
      <c r="I178" s="32"/>
    </row>
    <row r="179" spans="1:9" s="20" customFormat="1" ht="12.75">
      <c r="A179" s="170" t="s">
        <v>227</v>
      </c>
      <c r="B179" s="250" t="s">
        <v>433</v>
      </c>
      <c r="C179" s="251" t="s">
        <v>226</v>
      </c>
      <c r="D179" s="51">
        <v>435</v>
      </c>
      <c r="I179" s="32"/>
    </row>
    <row r="180" spans="1:9" s="20" customFormat="1" ht="12.75">
      <c r="A180" s="263" t="s">
        <v>361</v>
      </c>
      <c r="B180" s="250" t="s">
        <v>569</v>
      </c>
      <c r="C180" s="251"/>
      <c r="D180" s="51">
        <f>D181</f>
        <v>269.9</v>
      </c>
      <c r="I180" s="32"/>
    </row>
    <row r="181" spans="1:9" s="20" customFormat="1" ht="12.75">
      <c r="A181" s="169" t="s">
        <v>220</v>
      </c>
      <c r="B181" s="250" t="s">
        <v>569</v>
      </c>
      <c r="C181" s="251" t="s">
        <v>206</v>
      </c>
      <c r="D181" s="51">
        <f>D182</f>
        <v>269.9</v>
      </c>
      <c r="I181" s="32"/>
    </row>
    <row r="182" spans="1:9" s="20" customFormat="1" ht="12.75">
      <c r="A182" s="170" t="s">
        <v>227</v>
      </c>
      <c r="B182" s="250" t="s">
        <v>569</v>
      </c>
      <c r="C182" s="251" t="s">
        <v>226</v>
      </c>
      <c r="D182" s="51">
        <v>269.9</v>
      </c>
      <c r="I182" s="32"/>
    </row>
    <row r="183" spans="1:4" s="36" customFormat="1" ht="12.75">
      <c r="A183" s="263" t="s">
        <v>324</v>
      </c>
      <c r="B183" s="250" t="s">
        <v>474</v>
      </c>
      <c r="C183" s="251"/>
      <c r="D183" s="51">
        <f>D184</f>
        <v>39</v>
      </c>
    </row>
    <row r="184" spans="1:4" s="36" customFormat="1" ht="12.75">
      <c r="A184" s="169" t="s">
        <v>220</v>
      </c>
      <c r="B184" s="250" t="s">
        <v>474</v>
      </c>
      <c r="C184" s="251" t="s">
        <v>206</v>
      </c>
      <c r="D184" s="51">
        <f>D185</f>
        <v>39</v>
      </c>
    </row>
    <row r="185" spans="1:4" s="36" customFormat="1" ht="12.75">
      <c r="A185" s="170" t="s">
        <v>227</v>
      </c>
      <c r="B185" s="250" t="s">
        <v>474</v>
      </c>
      <c r="C185" s="251" t="s">
        <v>226</v>
      </c>
      <c r="D185" s="51">
        <v>39</v>
      </c>
    </row>
    <row r="186" spans="1:4" s="36" customFormat="1" ht="12.75">
      <c r="A186" s="273" t="s">
        <v>325</v>
      </c>
      <c r="B186" s="250" t="s">
        <v>38</v>
      </c>
      <c r="C186" s="251"/>
      <c r="D186" s="51">
        <f>D187</f>
        <v>608.7</v>
      </c>
    </row>
    <row r="187" spans="1:4" s="36" customFormat="1" ht="12.75">
      <c r="A187" s="169" t="s">
        <v>220</v>
      </c>
      <c r="B187" s="250" t="s">
        <v>38</v>
      </c>
      <c r="C187" s="251" t="s">
        <v>206</v>
      </c>
      <c r="D187" s="51">
        <f>SUM(D188:D188)</f>
        <v>608.7</v>
      </c>
    </row>
    <row r="188" spans="1:9" s="20" customFormat="1" ht="12.75">
      <c r="A188" s="170" t="s">
        <v>225</v>
      </c>
      <c r="B188" s="250" t="s">
        <v>38</v>
      </c>
      <c r="C188" s="251" t="s">
        <v>226</v>
      </c>
      <c r="D188" s="51">
        <f>595.5+13.2</f>
        <v>608.7</v>
      </c>
      <c r="I188" s="33"/>
    </row>
    <row r="189" spans="1:9" s="20" customFormat="1" ht="12.75">
      <c r="A189" s="273" t="s">
        <v>326</v>
      </c>
      <c r="B189" s="250" t="s">
        <v>42</v>
      </c>
      <c r="C189" s="251"/>
      <c r="D189" s="51">
        <f>D190</f>
        <v>150</v>
      </c>
      <c r="I189" s="32"/>
    </row>
    <row r="190" spans="1:9" s="24" customFormat="1" ht="15.75">
      <c r="A190" s="169" t="s">
        <v>220</v>
      </c>
      <c r="B190" s="250" t="s">
        <v>42</v>
      </c>
      <c r="C190" s="251" t="s">
        <v>206</v>
      </c>
      <c r="D190" s="51">
        <f>SUM(D191:D191)</f>
        <v>150</v>
      </c>
      <c r="I190" s="15"/>
    </row>
    <row r="191" spans="1:9" s="24" customFormat="1" ht="15.75">
      <c r="A191" s="170" t="s">
        <v>225</v>
      </c>
      <c r="B191" s="250" t="s">
        <v>42</v>
      </c>
      <c r="C191" s="251" t="s">
        <v>226</v>
      </c>
      <c r="D191" s="51">
        <v>150</v>
      </c>
      <c r="I191" s="15"/>
    </row>
    <row r="192" spans="1:9" s="24" customFormat="1" ht="15.75">
      <c r="A192" s="273" t="s">
        <v>680</v>
      </c>
      <c r="B192" s="250" t="s">
        <v>686</v>
      </c>
      <c r="C192" s="251"/>
      <c r="D192" s="51">
        <f>D193</f>
        <v>600</v>
      </c>
      <c r="I192" s="15"/>
    </row>
    <row r="193" spans="1:9" s="20" customFormat="1" ht="12.75">
      <c r="A193" s="169" t="s">
        <v>220</v>
      </c>
      <c r="B193" s="250" t="s">
        <v>686</v>
      </c>
      <c r="C193" s="251" t="s">
        <v>206</v>
      </c>
      <c r="D193" s="51">
        <f>SUM(D194:D194)</f>
        <v>600</v>
      </c>
      <c r="I193" s="32"/>
    </row>
    <row r="194" spans="1:9" s="20" customFormat="1" ht="12.75">
      <c r="A194" s="170" t="s">
        <v>225</v>
      </c>
      <c r="B194" s="250" t="s">
        <v>686</v>
      </c>
      <c r="C194" s="251" t="s">
        <v>226</v>
      </c>
      <c r="D194" s="51">
        <v>600</v>
      </c>
      <c r="I194" s="32"/>
    </row>
    <row r="195" spans="1:9" s="20" customFormat="1" ht="36">
      <c r="A195" s="170" t="s">
        <v>694</v>
      </c>
      <c r="B195" s="250" t="s">
        <v>695</v>
      </c>
      <c r="C195" s="251"/>
      <c r="D195" s="51">
        <f>D196</f>
        <v>0</v>
      </c>
      <c r="I195" s="32"/>
    </row>
    <row r="196" spans="1:9" s="20" customFormat="1" ht="12.75">
      <c r="A196" s="169" t="s">
        <v>220</v>
      </c>
      <c r="B196" s="250" t="s">
        <v>695</v>
      </c>
      <c r="C196" s="251" t="s">
        <v>206</v>
      </c>
      <c r="D196" s="51">
        <f>D197</f>
        <v>0</v>
      </c>
      <c r="I196" s="32"/>
    </row>
    <row r="197" spans="1:9" s="20" customFormat="1" ht="12.75">
      <c r="A197" s="170" t="s">
        <v>225</v>
      </c>
      <c r="B197" s="250" t="s">
        <v>695</v>
      </c>
      <c r="C197" s="251" t="s">
        <v>226</v>
      </c>
      <c r="D197" s="51">
        <f>418.5-418.5</f>
        <v>0</v>
      </c>
      <c r="I197" s="32"/>
    </row>
    <row r="198" spans="1:9" s="20" customFormat="1" ht="12.75">
      <c r="A198" s="270" t="s">
        <v>495</v>
      </c>
      <c r="B198" s="271" t="s">
        <v>494</v>
      </c>
      <c r="C198" s="251"/>
      <c r="D198" s="320">
        <f>D199+D204</f>
        <v>12656.1</v>
      </c>
      <c r="I198" s="32"/>
    </row>
    <row r="199" spans="1:9" s="20" customFormat="1" ht="12.75">
      <c r="A199" s="170" t="s">
        <v>138</v>
      </c>
      <c r="B199" s="250" t="s">
        <v>493</v>
      </c>
      <c r="C199" s="251"/>
      <c r="D199" s="323">
        <f>D200+D202</f>
        <v>12326.1</v>
      </c>
      <c r="E199" s="25"/>
      <c r="I199" s="32"/>
    </row>
    <row r="200" spans="1:9" s="20" customFormat="1" ht="24">
      <c r="A200" s="252" t="s">
        <v>139</v>
      </c>
      <c r="B200" s="250" t="s">
        <v>493</v>
      </c>
      <c r="C200" s="251" t="s">
        <v>228</v>
      </c>
      <c r="D200" s="323">
        <f>D201</f>
        <v>11575.2</v>
      </c>
      <c r="E200" s="25"/>
      <c r="I200" s="32"/>
    </row>
    <row r="201" spans="1:9" s="20" customFormat="1" ht="12.75">
      <c r="A201" s="169" t="s">
        <v>223</v>
      </c>
      <c r="B201" s="250" t="s">
        <v>493</v>
      </c>
      <c r="C201" s="251" t="s">
        <v>224</v>
      </c>
      <c r="D201" s="323">
        <f>11307.7+130+122.9-25.4+40</f>
        <v>11575.2</v>
      </c>
      <c r="E201" s="25"/>
      <c r="I201" s="32"/>
    </row>
    <row r="202" spans="1:9" s="20" customFormat="1" ht="12.75">
      <c r="A202" s="252" t="s">
        <v>264</v>
      </c>
      <c r="B202" s="250" t="s">
        <v>493</v>
      </c>
      <c r="C202" s="251" t="s">
        <v>216</v>
      </c>
      <c r="D202" s="323">
        <f>D203</f>
        <v>750.9</v>
      </c>
      <c r="I202" s="32"/>
    </row>
    <row r="203" spans="1:9" s="20" customFormat="1" ht="12.75">
      <c r="A203" s="252" t="s">
        <v>217</v>
      </c>
      <c r="B203" s="250" t="s">
        <v>493</v>
      </c>
      <c r="C203" s="251" t="s">
        <v>215</v>
      </c>
      <c r="D203" s="323">
        <v>750.9</v>
      </c>
      <c r="I203" s="32"/>
    </row>
    <row r="204" spans="1:9" s="20" customFormat="1" ht="12.75">
      <c r="A204" s="274" t="s">
        <v>126</v>
      </c>
      <c r="B204" s="250" t="s">
        <v>502</v>
      </c>
      <c r="C204" s="251"/>
      <c r="D204" s="321">
        <f>D205+D207</f>
        <v>330</v>
      </c>
      <c r="I204" s="32"/>
    </row>
    <row r="205" spans="1:9" s="20" customFormat="1" ht="24">
      <c r="A205" s="252" t="s">
        <v>139</v>
      </c>
      <c r="B205" s="250" t="s">
        <v>502</v>
      </c>
      <c r="C205" s="251" t="s">
        <v>228</v>
      </c>
      <c r="D205" s="321">
        <f>D206</f>
        <v>240</v>
      </c>
      <c r="I205" s="32"/>
    </row>
    <row r="206" spans="1:9" s="20" customFormat="1" ht="12.75">
      <c r="A206" s="169" t="s">
        <v>223</v>
      </c>
      <c r="B206" s="250" t="s">
        <v>502</v>
      </c>
      <c r="C206" s="251" t="s">
        <v>224</v>
      </c>
      <c r="D206" s="321">
        <v>240</v>
      </c>
      <c r="I206" s="32"/>
    </row>
    <row r="207" spans="1:9" s="20" customFormat="1" ht="12.75">
      <c r="A207" s="252" t="s">
        <v>264</v>
      </c>
      <c r="B207" s="250" t="s">
        <v>502</v>
      </c>
      <c r="C207" s="251" t="s">
        <v>216</v>
      </c>
      <c r="D207" s="321">
        <f>D208</f>
        <v>90</v>
      </c>
      <c r="I207" s="32"/>
    </row>
    <row r="208" spans="1:9" s="20" customFormat="1" ht="12.75">
      <c r="A208" s="252" t="s">
        <v>217</v>
      </c>
      <c r="B208" s="250" t="s">
        <v>502</v>
      </c>
      <c r="C208" s="251" t="s">
        <v>215</v>
      </c>
      <c r="D208" s="321">
        <f>150-40-20</f>
        <v>90</v>
      </c>
      <c r="I208" s="32"/>
    </row>
    <row r="209" spans="1:9" s="20" customFormat="1" ht="12.75">
      <c r="A209" s="275" t="s">
        <v>400</v>
      </c>
      <c r="B209" s="248" t="s">
        <v>95</v>
      </c>
      <c r="C209" s="249"/>
      <c r="D209" s="50">
        <f>D210+D216</f>
        <v>875.9000000000001</v>
      </c>
      <c r="I209" s="32"/>
    </row>
    <row r="210" spans="1:9" s="20" customFormat="1" ht="12.75">
      <c r="A210" s="276" t="s">
        <v>450</v>
      </c>
      <c r="B210" s="271" t="s">
        <v>54</v>
      </c>
      <c r="C210" s="251"/>
      <c r="D210" s="50">
        <f>D211</f>
        <v>534.7</v>
      </c>
      <c r="I210" s="32"/>
    </row>
    <row r="211" spans="1:9" s="20" customFormat="1" ht="12.75">
      <c r="A211" s="253" t="s">
        <v>111</v>
      </c>
      <c r="B211" s="250" t="s">
        <v>55</v>
      </c>
      <c r="C211" s="277"/>
      <c r="D211" s="324">
        <f>D212+D214</f>
        <v>534.7</v>
      </c>
      <c r="I211" s="32"/>
    </row>
    <row r="212" spans="1:9" s="20" customFormat="1" ht="12.75">
      <c r="A212" s="252" t="s">
        <v>264</v>
      </c>
      <c r="B212" s="250" t="s">
        <v>55</v>
      </c>
      <c r="C212" s="58">
        <v>200</v>
      </c>
      <c r="D212" s="321">
        <f>D213</f>
        <v>504.7</v>
      </c>
      <c r="I212" s="32"/>
    </row>
    <row r="213" spans="1:9" s="20" customFormat="1" ht="12.75">
      <c r="A213" s="252" t="s">
        <v>217</v>
      </c>
      <c r="B213" s="250" t="s">
        <v>55</v>
      </c>
      <c r="C213" s="58">
        <v>240</v>
      </c>
      <c r="D213" s="321">
        <f>15+200+289.7</f>
        <v>504.7</v>
      </c>
      <c r="I213" s="32"/>
    </row>
    <row r="214" spans="1:9" s="20" customFormat="1" ht="12.75">
      <c r="A214" s="252" t="s">
        <v>317</v>
      </c>
      <c r="B214" s="250" t="s">
        <v>55</v>
      </c>
      <c r="C214" s="58">
        <v>600</v>
      </c>
      <c r="D214" s="321">
        <f>D215</f>
        <v>30</v>
      </c>
      <c r="I214" s="32"/>
    </row>
    <row r="215" spans="1:9" s="20" customFormat="1" ht="12.75">
      <c r="A215" s="252" t="s">
        <v>221</v>
      </c>
      <c r="B215" s="250" t="s">
        <v>55</v>
      </c>
      <c r="C215" s="58">
        <v>610</v>
      </c>
      <c r="D215" s="321">
        <v>30</v>
      </c>
      <c r="I215" s="32"/>
    </row>
    <row r="216" spans="1:9" s="20" customFormat="1" ht="12.75">
      <c r="A216" s="278" t="s">
        <v>245</v>
      </c>
      <c r="B216" s="271" t="s">
        <v>56</v>
      </c>
      <c r="C216" s="272"/>
      <c r="D216" s="50">
        <f>D217+D222</f>
        <v>341.2</v>
      </c>
      <c r="I216" s="32"/>
    </row>
    <row r="217" spans="1:9" s="20" customFormat="1" ht="12.75">
      <c r="A217" s="253" t="s">
        <v>111</v>
      </c>
      <c r="B217" s="250" t="s">
        <v>57</v>
      </c>
      <c r="C217" s="251"/>
      <c r="D217" s="51">
        <f>D218+D220</f>
        <v>325</v>
      </c>
      <c r="I217" s="32"/>
    </row>
    <row r="218" spans="1:9" s="20" customFormat="1" ht="12.75">
      <c r="A218" s="252" t="s">
        <v>264</v>
      </c>
      <c r="B218" s="250" t="s">
        <v>57</v>
      </c>
      <c r="C218" s="251" t="s">
        <v>216</v>
      </c>
      <c r="D218" s="51">
        <f>D219</f>
        <v>62</v>
      </c>
      <c r="I218" s="32"/>
    </row>
    <row r="219" spans="1:9" s="20" customFormat="1" ht="12.75">
      <c r="A219" s="252" t="s">
        <v>217</v>
      </c>
      <c r="B219" s="250" t="s">
        <v>57</v>
      </c>
      <c r="C219" s="251" t="s">
        <v>215</v>
      </c>
      <c r="D219" s="51">
        <v>62</v>
      </c>
      <c r="I219" s="32"/>
    </row>
    <row r="220" spans="1:9" s="20" customFormat="1" ht="12.75">
      <c r="A220" s="252" t="s">
        <v>317</v>
      </c>
      <c r="B220" s="250" t="s">
        <v>57</v>
      </c>
      <c r="C220" s="251" t="s">
        <v>206</v>
      </c>
      <c r="D220" s="51">
        <f>D221</f>
        <v>263</v>
      </c>
      <c r="I220" s="32"/>
    </row>
    <row r="221" spans="1:9" s="20" customFormat="1" ht="12.75">
      <c r="A221" s="252" t="s">
        <v>221</v>
      </c>
      <c r="B221" s="250" t="s">
        <v>57</v>
      </c>
      <c r="C221" s="251" t="s">
        <v>222</v>
      </c>
      <c r="D221" s="51">
        <v>263</v>
      </c>
      <c r="I221" s="32"/>
    </row>
    <row r="222" spans="1:9" s="20" customFormat="1" ht="24">
      <c r="A222" s="253" t="s">
        <v>41</v>
      </c>
      <c r="B222" s="250" t="s">
        <v>451</v>
      </c>
      <c r="C222" s="251"/>
      <c r="D222" s="51">
        <f>SUM(D223)</f>
        <v>16.2</v>
      </c>
      <c r="I222" s="32"/>
    </row>
    <row r="223" spans="1:9" s="20" customFormat="1" ht="12.75">
      <c r="A223" s="252" t="s">
        <v>264</v>
      </c>
      <c r="B223" s="250" t="s">
        <v>451</v>
      </c>
      <c r="C223" s="251" t="s">
        <v>216</v>
      </c>
      <c r="D223" s="51">
        <f>D224</f>
        <v>16.2</v>
      </c>
      <c r="I223" s="32"/>
    </row>
    <row r="224" spans="1:9" s="20" customFormat="1" ht="12.75">
      <c r="A224" s="252" t="s">
        <v>217</v>
      </c>
      <c r="B224" s="250" t="s">
        <v>451</v>
      </c>
      <c r="C224" s="251" t="s">
        <v>215</v>
      </c>
      <c r="D224" s="51">
        <v>16.2</v>
      </c>
      <c r="I224" s="32"/>
    </row>
    <row r="225" spans="1:9" s="20" customFormat="1" ht="12.75">
      <c r="A225" s="279" t="s">
        <v>286</v>
      </c>
      <c r="B225" s="248" t="s">
        <v>0</v>
      </c>
      <c r="C225" s="249"/>
      <c r="D225" s="325">
        <f>D226</f>
        <v>1225</v>
      </c>
      <c r="I225" s="32"/>
    </row>
    <row r="226" spans="1:9" s="20" customFormat="1" ht="12.75">
      <c r="A226" s="276" t="s">
        <v>284</v>
      </c>
      <c r="B226" s="271" t="s">
        <v>1</v>
      </c>
      <c r="C226" s="251"/>
      <c r="D226" s="325">
        <f>D229</f>
        <v>1225</v>
      </c>
      <c r="I226" s="32"/>
    </row>
    <row r="227" spans="1:9" s="20" customFormat="1" ht="12.75">
      <c r="A227" s="253" t="s">
        <v>586</v>
      </c>
      <c r="B227" s="250" t="s">
        <v>2</v>
      </c>
      <c r="C227" s="280"/>
      <c r="D227" s="326">
        <f>D228</f>
        <v>1225</v>
      </c>
      <c r="I227" s="32"/>
    </row>
    <row r="228" spans="1:9" s="20" customFormat="1" ht="12.75">
      <c r="A228" s="252" t="s">
        <v>264</v>
      </c>
      <c r="B228" s="250" t="s">
        <v>2</v>
      </c>
      <c r="C228" s="280" t="s">
        <v>216</v>
      </c>
      <c r="D228" s="327">
        <f>D229</f>
        <v>1225</v>
      </c>
      <c r="I228" s="32"/>
    </row>
    <row r="229" spans="1:9" s="20" customFormat="1" ht="12.75">
      <c r="A229" s="252" t="s">
        <v>217</v>
      </c>
      <c r="B229" s="250" t="s">
        <v>2</v>
      </c>
      <c r="C229" s="280" t="s">
        <v>215</v>
      </c>
      <c r="D229" s="327">
        <v>1225</v>
      </c>
      <c r="I229" s="32"/>
    </row>
    <row r="230" spans="1:9" s="20" customFormat="1" ht="12.75">
      <c r="A230" s="281" t="s">
        <v>410</v>
      </c>
      <c r="B230" s="248" t="s">
        <v>4</v>
      </c>
      <c r="C230" s="282"/>
      <c r="D230" s="50">
        <f>D236+D241+D231+D244</f>
        <v>2405.1</v>
      </c>
      <c r="I230" s="32"/>
    </row>
    <row r="231" spans="1:9" s="20" customFormat="1" ht="12.75">
      <c r="A231" s="170" t="s">
        <v>288</v>
      </c>
      <c r="B231" s="250" t="s">
        <v>460</v>
      </c>
      <c r="C231" s="251"/>
      <c r="D231" s="51">
        <f>D232</f>
        <v>5</v>
      </c>
      <c r="I231" s="32"/>
    </row>
    <row r="232" spans="1:9" s="20" customFormat="1" ht="12.75">
      <c r="A232" s="252" t="s">
        <v>264</v>
      </c>
      <c r="B232" s="250" t="s">
        <v>460</v>
      </c>
      <c r="C232" s="251" t="s">
        <v>216</v>
      </c>
      <c r="D232" s="51">
        <f>D233</f>
        <v>5</v>
      </c>
      <c r="I232" s="32"/>
    </row>
    <row r="233" spans="1:9" s="20" customFormat="1" ht="12.75">
      <c r="A233" s="252" t="s">
        <v>217</v>
      </c>
      <c r="B233" s="250" t="s">
        <v>460</v>
      </c>
      <c r="C233" s="251" t="s">
        <v>215</v>
      </c>
      <c r="D233" s="51">
        <v>5</v>
      </c>
      <c r="I233" s="32"/>
    </row>
    <row r="234" spans="1:9" s="20" customFormat="1" ht="12.75">
      <c r="A234" s="252" t="s">
        <v>264</v>
      </c>
      <c r="B234" s="250" t="s">
        <v>6</v>
      </c>
      <c r="C234" s="251" t="s">
        <v>216</v>
      </c>
      <c r="D234" s="51">
        <f>D235</f>
        <v>97.9</v>
      </c>
      <c r="I234" s="32"/>
    </row>
    <row r="235" spans="1:9" s="20" customFormat="1" ht="12.75">
      <c r="A235" s="252" t="s">
        <v>217</v>
      </c>
      <c r="B235" s="250" t="s">
        <v>6</v>
      </c>
      <c r="C235" s="251" t="s">
        <v>215</v>
      </c>
      <c r="D235" s="51">
        <v>97.9</v>
      </c>
      <c r="I235" s="32"/>
    </row>
    <row r="236" spans="1:9" s="20" customFormat="1" ht="12.75">
      <c r="A236" s="253" t="s">
        <v>119</v>
      </c>
      <c r="B236" s="250" t="s">
        <v>5</v>
      </c>
      <c r="C236" s="283"/>
      <c r="D236" s="51">
        <f>D239+D237</f>
        <v>2134.9</v>
      </c>
      <c r="I236" s="32"/>
    </row>
    <row r="237" spans="1:9" s="20" customFormat="1" ht="12.75">
      <c r="A237" s="252" t="s">
        <v>264</v>
      </c>
      <c r="B237" s="250" t="s">
        <v>5</v>
      </c>
      <c r="C237" s="251" t="s">
        <v>216</v>
      </c>
      <c r="D237" s="51">
        <f>D238</f>
        <v>97.9</v>
      </c>
      <c r="I237" s="32"/>
    </row>
    <row r="238" spans="1:9" s="20" customFormat="1" ht="12.75">
      <c r="A238" s="252" t="s">
        <v>217</v>
      </c>
      <c r="B238" s="250" t="s">
        <v>5</v>
      </c>
      <c r="C238" s="251" t="s">
        <v>215</v>
      </c>
      <c r="D238" s="51">
        <v>97.9</v>
      </c>
      <c r="I238" s="32"/>
    </row>
    <row r="239" spans="1:9" s="20" customFormat="1" ht="12.75">
      <c r="A239" s="253" t="s">
        <v>107</v>
      </c>
      <c r="B239" s="250" t="s">
        <v>5</v>
      </c>
      <c r="C239" s="283" t="s">
        <v>100</v>
      </c>
      <c r="D239" s="51">
        <f>D240</f>
        <v>2037</v>
      </c>
      <c r="I239" s="32"/>
    </row>
    <row r="240" spans="1:9" s="20" customFormat="1" ht="24">
      <c r="A240" s="253" t="s">
        <v>266</v>
      </c>
      <c r="B240" s="250" t="s">
        <v>5</v>
      </c>
      <c r="C240" s="251" t="s">
        <v>101</v>
      </c>
      <c r="D240" s="51">
        <f>832+5+1200</f>
        <v>2037</v>
      </c>
      <c r="I240" s="32"/>
    </row>
    <row r="241" spans="1:9" s="20" customFormat="1" ht="12.75">
      <c r="A241" s="170" t="s">
        <v>113</v>
      </c>
      <c r="B241" s="250" t="s">
        <v>6</v>
      </c>
      <c r="C241" s="251"/>
      <c r="D241" s="51">
        <f>D242</f>
        <v>115</v>
      </c>
      <c r="I241" s="32"/>
    </row>
    <row r="242" spans="1:9" s="20" customFormat="1" ht="12.75">
      <c r="A242" s="252" t="s">
        <v>264</v>
      </c>
      <c r="B242" s="250" t="s">
        <v>6</v>
      </c>
      <c r="C242" s="251" t="s">
        <v>216</v>
      </c>
      <c r="D242" s="51">
        <f>D243</f>
        <v>115</v>
      </c>
      <c r="I242" s="32"/>
    </row>
    <row r="243" spans="1:6" s="36" customFormat="1" ht="12.75">
      <c r="A243" s="252" t="s">
        <v>217</v>
      </c>
      <c r="B243" s="250" t="s">
        <v>6</v>
      </c>
      <c r="C243" s="251" t="s">
        <v>215</v>
      </c>
      <c r="D243" s="51">
        <v>115</v>
      </c>
      <c r="E243" s="41">
        <v>850</v>
      </c>
      <c r="F243" s="42">
        <v>1632.5</v>
      </c>
    </row>
    <row r="244" spans="1:6" s="36" customFormat="1" ht="24">
      <c r="A244" s="170" t="s">
        <v>459</v>
      </c>
      <c r="B244" s="250" t="s">
        <v>661</v>
      </c>
      <c r="C244" s="251"/>
      <c r="D244" s="51">
        <f>D245</f>
        <v>150.2</v>
      </c>
      <c r="F244" s="42" t="e">
        <f>#REF!+#REF!+F243</f>
        <v>#REF!</v>
      </c>
    </row>
    <row r="245" spans="1:6" s="36" customFormat="1" ht="12.75">
      <c r="A245" s="252" t="s">
        <v>264</v>
      </c>
      <c r="B245" s="250" t="s">
        <v>661</v>
      </c>
      <c r="C245" s="251" t="s">
        <v>216</v>
      </c>
      <c r="D245" s="51">
        <f>D246</f>
        <v>150.2</v>
      </c>
      <c r="E245" s="41">
        <v>850</v>
      </c>
      <c r="F245" s="42">
        <v>1632.5</v>
      </c>
    </row>
    <row r="246" spans="1:6" s="36" customFormat="1" ht="12.75">
      <c r="A246" s="252" t="s">
        <v>217</v>
      </c>
      <c r="B246" s="250" t="s">
        <v>661</v>
      </c>
      <c r="C246" s="251" t="s">
        <v>215</v>
      </c>
      <c r="D246" s="51">
        <v>150.2</v>
      </c>
      <c r="F246" s="42" t="e">
        <f>#REF!+#REF!+F245</f>
        <v>#REF!</v>
      </c>
    </row>
    <row r="247" spans="1:9" s="20" customFormat="1" ht="12.75">
      <c r="A247" s="279" t="s">
        <v>409</v>
      </c>
      <c r="B247" s="248" t="s">
        <v>303</v>
      </c>
      <c r="C247" s="249"/>
      <c r="D247" s="50">
        <f>D248+D251+D254</f>
        <v>1508.6</v>
      </c>
      <c r="I247" s="32"/>
    </row>
    <row r="248" spans="1:9" s="20" customFormat="1" ht="24">
      <c r="A248" s="253" t="s">
        <v>614</v>
      </c>
      <c r="B248" s="250" t="s">
        <v>613</v>
      </c>
      <c r="C248" s="251"/>
      <c r="D248" s="51">
        <f>D249</f>
        <v>1250.6</v>
      </c>
      <c r="I248" s="32"/>
    </row>
    <row r="249" spans="1:9" s="22" customFormat="1" ht="12.75">
      <c r="A249" s="169" t="s">
        <v>265</v>
      </c>
      <c r="B249" s="250" t="s">
        <v>613</v>
      </c>
      <c r="C249" s="251" t="s">
        <v>229</v>
      </c>
      <c r="D249" s="51">
        <f>D250</f>
        <v>1250.6</v>
      </c>
      <c r="I249" s="34"/>
    </row>
    <row r="250" spans="1:9" s="20" customFormat="1" ht="12.75">
      <c r="A250" s="284" t="s">
        <v>207</v>
      </c>
      <c r="B250" s="250" t="s">
        <v>613</v>
      </c>
      <c r="C250" s="251" t="s">
        <v>230</v>
      </c>
      <c r="D250" s="51">
        <f>752.6+218+280</f>
        <v>1250.6</v>
      </c>
      <c r="I250" s="32"/>
    </row>
    <row r="251" spans="1:9" s="20" customFormat="1" ht="12.75">
      <c r="A251" s="253" t="s">
        <v>463</v>
      </c>
      <c r="B251" s="250" t="s">
        <v>462</v>
      </c>
      <c r="C251" s="251"/>
      <c r="D251" s="51">
        <f>D252</f>
        <v>150</v>
      </c>
      <c r="I251" s="32"/>
    </row>
    <row r="252" spans="1:9" s="20" customFormat="1" ht="12.75">
      <c r="A252" s="169" t="s">
        <v>265</v>
      </c>
      <c r="B252" s="250" t="s">
        <v>462</v>
      </c>
      <c r="C252" s="251" t="s">
        <v>229</v>
      </c>
      <c r="D252" s="51">
        <f>D253</f>
        <v>150</v>
      </c>
      <c r="I252" s="32"/>
    </row>
    <row r="253" spans="1:9" s="20" customFormat="1" ht="12.75">
      <c r="A253" s="284" t="s">
        <v>207</v>
      </c>
      <c r="B253" s="250" t="s">
        <v>462</v>
      </c>
      <c r="C253" s="251" t="s">
        <v>230</v>
      </c>
      <c r="D253" s="51">
        <f>1542-173-400-50-100-774+105</f>
        <v>150</v>
      </c>
      <c r="I253" s="32"/>
    </row>
    <row r="254" spans="1:9" s="20" customFormat="1" ht="12.75">
      <c r="A254" s="253" t="s">
        <v>288</v>
      </c>
      <c r="B254" s="250" t="s">
        <v>461</v>
      </c>
      <c r="C254" s="251"/>
      <c r="D254" s="51">
        <f>D255</f>
        <v>108</v>
      </c>
      <c r="I254" s="32"/>
    </row>
    <row r="255" spans="1:9" s="20" customFormat="1" ht="12.75">
      <c r="A255" s="253" t="s">
        <v>107</v>
      </c>
      <c r="B255" s="250" t="s">
        <v>461</v>
      </c>
      <c r="C255" s="251" t="s">
        <v>100</v>
      </c>
      <c r="D255" s="51">
        <f>D256</f>
        <v>108</v>
      </c>
      <c r="I255" s="32"/>
    </row>
    <row r="256" spans="1:9" s="20" customFormat="1" ht="12.75">
      <c r="A256" s="284" t="s">
        <v>242</v>
      </c>
      <c r="B256" s="250" t="s">
        <v>461</v>
      </c>
      <c r="C256" s="251" t="s">
        <v>243</v>
      </c>
      <c r="D256" s="51">
        <v>108</v>
      </c>
      <c r="I256" s="32"/>
    </row>
    <row r="257" spans="1:9" s="20" customFormat="1" ht="12.75">
      <c r="A257" s="285" t="s">
        <v>301</v>
      </c>
      <c r="B257" s="248" t="s">
        <v>7</v>
      </c>
      <c r="C257" s="249"/>
      <c r="D257" s="50">
        <f>D263+D258</f>
        <v>6440.6</v>
      </c>
      <c r="I257" s="32"/>
    </row>
    <row r="258" spans="1:9" s="20" customFormat="1" ht="24">
      <c r="A258" s="253" t="s">
        <v>609</v>
      </c>
      <c r="B258" s="250" t="s">
        <v>608</v>
      </c>
      <c r="C258" s="251"/>
      <c r="D258" s="51">
        <f>D259</f>
        <v>2670.6</v>
      </c>
      <c r="I258" s="32"/>
    </row>
    <row r="259" spans="1:9" s="20" customFormat="1" ht="12.75">
      <c r="A259" s="169" t="s">
        <v>265</v>
      </c>
      <c r="B259" s="250" t="s">
        <v>608</v>
      </c>
      <c r="C259" s="251" t="s">
        <v>229</v>
      </c>
      <c r="D259" s="51">
        <f>D260</f>
        <v>2670.6</v>
      </c>
      <c r="I259" s="32"/>
    </row>
    <row r="260" spans="1:6" s="36" customFormat="1" ht="12.75">
      <c r="A260" s="284" t="s">
        <v>207</v>
      </c>
      <c r="B260" s="250" t="s">
        <v>608</v>
      </c>
      <c r="C260" s="251" t="s">
        <v>230</v>
      </c>
      <c r="D260" s="51">
        <v>2670.6</v>
      </c>
      <c r="E260" s="41">
        <v>850</v>
      </c>
      <c r="F260" s="42">
        <v>1632.5</v>
      </c>
    </row>
    <row r="261" spans="1:6" s="36" customFormat="1" ht="12.75">
      <c r="A261" s="253" t="s">
        <v>272</v>
      </c>
      <c r="B261" s="250" t="s">
        <v>302</v>
      </c>
      <c r="C261" s="251"/>
      <c r="D261" s="51">
        <f>D262</f>
        <v>3770</v>
      </c>
      <c r="F261" s="42" t="e">
        <f>#REF!+#REF!+F260</f>
        <v>#REF!</v>
      </c>
    </row>
    <row r="262" spans="1:14" s="36" customFormat="1" ht="12.75">
      <c r="A262" s="252" t="s">
        <v>264</v>
      </c>
      <c r="B262" s="250" t="s">
        <v>302</v>
      </c>
      <c r="C262" s="251" t="s">
        <v>216</v>
      </c>
      <c r="D262" s="51">
        <f>SUM(D263)</f>
        <v>3770</v>
      </c>
      <c r="N262" s="43"/>
    </row>
    <row r="263" spans="1:14" s="36" customFormat="1" ht="12.75">
      <c r="A263" s="252" t="s">
        <v>217</v>
      </c>
      <c r="B263" s="250" t="s">
        <v>302</v>
      </c>
      <c r="C263" s="251" t="s">
        <v>215</v>
      </c>
      <c r="D263" s="51">
        <v>3770</v>
      </c>
      <c r="N263" s="43"/>
    </row>
    <row r="264" spans="1:14" s="36" customFormat="1" ht="12.75">
      <c r="A264" s="285" t="s">
        <v>437</v>
      </c>
      <c r="B264" s="248" t="s">
        <v>96</v>
      </c>
      <c r="C264" s="286"/>
      <c r="D264" s="50">
        <f>D265</f>
        <v>40</v>
      </c>
      <c r="N264" s="43"/>
    </row>
    <row r="265" spans="1:14" s="36" customFormat="1" ht="12.75">
      <c r="A265" s="253" t="s">
        <v>111</v>
      </c>
      <c r="B265" s="250" t="s">
        <v>458</v>
      </c>
      <c r="C265" s="251"/>
      <c r="D265" s="51">
        <f>D266+D268</f>
        <v>40</v>
      </c>
      <c r="N265" s="43"/>
    </row>
    <row r="266" spans="1:14" s="36" customFormat="1" ht="12.75">
      <c r="A266" s="252" t="s">
        <v>264</v>
      </c>
      <c r="B266" s="250" t="s">
        <v>458</v>
      </c>
      <c r="C266" s="251" t="s">
        <v>216</v>
      </c>
      <c r="D266" s="51">
        <f>D267</f>
        <v>10</v>
      </c>
      <c r="N266" s="43"/>
    </row>
    <row r="267" spans="1:14" s="32" customFormat="1" ht="12.75">
      <c r="A267" s="252" t="s">
        <v>217</v>
      </c>
      <c r="B267" s="250" t="s">
        <v>458</v>
      </c>
      <c r="C267" s="251" t="s">
        <v>215</v>
      </c>
      <c r="D267" s="51">
        <v>10</v>
      </c>
      <c r="N267" s="44"/>
    </row>
    <row r="268" spans="1:14" ht="15.75">
      <c r="A268" s="169" t="s">
        <v>220</v>
      </c>
      <c r="B268" s="250" t="s">
        <v>458</v>
      </c>
      <c r="C268" s="251" t="s">
        <v>206</v>
      </c>
      <c r="D268" s="51">
        <f>D269</f>
        <v>30</v>
      </c>
      <c r="N268" s="3"/>
    </row>
    <row r="269" spans="1:14" ht="15.75">
      <c r="A269" s="170" t="s">
        <v>221</v>
      </c>
      <c r="B269" s="250" t="s">
        <v>458</v>
      </c>
      <c r="C269" s="251" t="s">
        <v>222</v>
      </c>
      <c r="D269" s="51">
        <v>30</v>
      </c>
      <c r="N269" s="3"/>
    </row>
    <row r="270" spans="1:14" ht="15.75">
      <c r="A270" s="287" t="s">
        <v>521</v>
      </c>
      <c r="B270" s="248" t="s">
        <v>60</v>
      </c>
      <c r="C270" s="249"/>
      <c r="D270" s="50">
        <f>D271+D278</f>
        <v>2773.7999999999997</v>
      </c>
      <c r="N270" s="3"/>
    </row>
    <row r="271" spans="1:14" ht="24">
      <c r="A271" s="288" t="s">
        <v>546</v>
      </c>
      <c r="B271" s="271" t="s">
        <v>381</v>
      </c>
      <c r="C271" s="272"/>
      <c r="D271" s="50">
        <f>D272</f>
        <v>2743.7999999999997</v>
      </c>
      <c r="N271" s="3"/>
    </row>
    <row r="272" spans="1:4" s="36" customFormat="1" ht="12.75">
      <c r="A272" s="170" t="s">
        <v>127</v>
      </c>
      <c r="B272" s="259" t="s">
        <v>545</v>
      </c>
      <c r="C272" s="257"/>
      <c r="D272" s="50">
        <f>D273+D275</f>
        <v>2743.7999999999997</v>
      </c>
    </row>
    <row r="273" spans="1:4" s="36" customFormat="1" ht="24">
      <c r="A273" s="252" t="s">
        <v>139</v>
      </c>
      <c r="B273" s="259" t="s">
        <v>545</v>
      </c>
      <c r="C273" s="260" t="s">
        <v>228</v>
      </c>
      <c r="D273" s="51">
        <f>D274</f>
        <v>2723.7999999999997</v>
      </c>
    </row>
    <row r="274" spans="1:14" ht="15.75">
      <c r="A274" s="252" t="s">
        <v>307</v>
      </c>
      <c r="B274" s="259" t="s">
        <v>545</v>
      </c>
      <c r="C274" s="260" t="s">
        <v>306</v>
      </c>
      <c r="D274" s="51">
        <f>2919.1-150-45.3</f>
        <v>2723.7999999999997</v>
      </c>
      <c r="N274" s="3"/>
    </row>
    <row r="275" spans="1:14" ht="25.5">
      <c r="A275" s="122" t="s">
        <v>662</v>
      </c>
      <c r="B275" s="292" t="s">
        <v>663</v>
      </c>
      <c r="C275" s="257"/>
      <c r="D275" s="51">
        <f>D276</f>
        <v>20</v>
      </c>
      <c r="N275" s="3"/>
    </row>
    <row r="276" spans="1:14" ht="15.75">
      <c r="A276" s="252" t="s">
        <v>264</v>
      </c>
      <c r="B276" s="292" t="s">
        <v>663</v>
      </c>
      <c r="C276" s="260" t="s">
        <v>216</v>
      </c>
      <c r="D276" s="51">
        <f>D277</f>
        <v>20</v>
      </c>
      <c r="N276" s="3"/>
    </row>
    <row r="277" spans="1:4" s="36" customFormat="1" ht="12.75">
      <c r="A277" s="252" t="s">
        <v>217</v>
      </c>
      <c r="B277" s="292" t="s">
        <v>663</v>
      </c>
      <c r="C277" s="260" t="s">
        <v>215</v>
      </c>
      <c r="D277" s="51">
        <v>20</v>
      </c>
    </row>
    <row r="278" spans="1:4" s="36" customFormat="1" ht="12.75">
      <c r="A278" s="278" t="s">
        <v>547</v>
      </c>
      <c r="B278" s="271" t="s">
        <v>62</v>
      </c>
      <c r="C278" s="272"/>
      <c r="D278" s="50">
        <f>D279</f>
        <v>30</v>
      </c>
    </row>
    <row r="279" spans="1:4" s="36" customFormat="1" ht="12.75">
      <c r="A279" s="289" t="s">
        <v>64</v>
      </c>
      <c r="B279" s="250" t="s">
        <v>63</v>
      </c>
      <c r="C279" s="251"/>
      <c r="D279" s="51">
        <f>SUM(D280)</f>
        <v>30</v>
      </c>
    </row>
    <row r="280" spans="1:14" s="39" customFormat="1" ht="15.75">
      <c r="A280" s="252" t="s">
        <v>264</v>
      </c>
      <c r="B280" s="250" t="s">
        <v>63</v>
      </c>
      <c r="C280" s="251" t="s">
        <v>216</v>
      </c>
      <c r="D280" s="51">
        <f>D281</f>
        <v>30</v>
      </c>
      <c r="N280" s="5"/>
    </row>
    <row r="281" spans="1:14" ht="15.75">
      <c r="A281" s="252" t="s">
        <v>217</v>
      </c>
      <c r="B281" s="250" t="s">
        <v>63</v>
      </c>
      <c r="C281" s="251" t="s">
        <v>215</v>
      </c>
      <c r="D281" s="51">
        <v>30</v>
      </c>
      <c r="N281" s="3"/>
    </row>
    <row r="282" spans="1:14" ht="15.75">
      <c r="A282" s="285" t="s">
        <v>544</v>
      </c>
      <c r="B282" s="248" t="s">
        <v>419</v>
      </c>
      <c r="C282" s="286"/>
      <c r="D282" s="50">
        <f>D283</f>
        <v>8514.3</v>
      </c>
      <c r="N282" s="3"/>
    </row>
    <row r="283" spans="1:14" ht="24">
      <c r="A283" s="253" t="s">
        <v>421</v>
      </c>
      <c r="B283" s="250" t="s">
        <v>422</v>
      </c>
      <c r="C283" s="251"/>
      <c r="D283" s="51">
        <f>D284</f>
        <v>8514.3</v>
      </c>
      <c r="N283" s="3"/>
    </row>
    <row r="284" spans="1:14" ht="15.75">
      <c r="A284" s="169" t="s">
        <v>203</v>
      </c>
      <c r="B284" s="250" t="s">
        <v>422</v>
      </c>
      <c r="C284" s="251" t="s">
        <v>204</v>
      </c>
      <c r="D284" s="51">
        <f>D285</f>
        <v>8514.3</v>
      </c>
      <c r="N284" s="3"/>
    </row>
    <row r="285" spans="1:14" ht="15.75">
      <c r="A285" s="170" t="s">
        <v>234</v>
      </c>
      <c r="B285" s="250" t="s">
        <v>422</v>
      </c>
      <c r="C285" s="251" t="s">
        <v>233</v>
      </c>
      <c r="D285" s="51">
        <v>8514.3</v>
      </c>
      <c r="N285" s="3"/>
    </row>
    <row r="286" spans="1:14" ht="24">
      <c r="A286" s="279" t="s">
        <v>436</v>
      </c>
      <c r="B286" s="248" t="s">
        <v>44</v>
      </c>
      <c r="C286" s="249"/>
      <c r="D286" s="50">
        <f>D287+D307</f>
        <v>29507.696</v>
      </c>
      <c r="N286" s="3"/>
    </row>
    <row r="287" spans="1:14" ht="15.75">
      <c r="A287" s="290" t="s">
        <v>447</v>
      </c>
      <c r="B287" s="271" t="s">
        <v>263</v>
      </c>
      <c r="C287" s="272"/>
      <c r="D287" s="50">
        <f>D291+D296+D301+D304+D288</f>
        <v>9484.8</v>
      </c>
      <c r="N287" s="3"/>
    </row>
    <row r="288" spans="1:14" s="32" customFormat="1" ht="12.75">
      <c r="A288" s="284" t="s">
        <v>463</v>
      </c>
      <c r="B288" s="250" t="s">
        <v>658</v>
      </c>
      <c r="C288" s="251"/>
      <c r="D288" s="51">
        <f>D289</f>
        <v>5841.2</v>
      </c>
      <c r="E288" s="37"/>
      <c r="N288" s="44"/>
    </row>
    <row r="289" spans="1:14" s="32" customFormat="1" ht="12.75">
      <c r="A289" s="169" t="s">
        <v>265</v>
      </c>
      <c r="B289" s="250" t="s">
        <v>658</v>
      </c>
      <c r="C289" s="251" t="s">
        <v>229</v>
      </c>
      <c r="D289" s="51">
        <f>D290</f>
        <v>5841.2</v>
      </c>
      <c r="N289" s="44"/>
    </row>
    <row r="290" spans="1:14" ht="15.75">
      <c r="A290" s="284" t="s">
        <v>207</v>
      </c>
      <c r="B290" s="250" t="s">
        <v>658</v>
      </c>
      <c r="C290" s="251" t="s">
        <v>230</v>
      </c>
      <c r="D290" s="51">
        <f>2500+1560+1781.2</f>
        <v>5841.2</v>
      </c>
      <c r="N290" s="3"/>
    </row>
    <row r="291" spans="1:14" s="32" customFormat="1" ht="12.75">
      <c r="A291" s="284" t="s">
        <v>564</v>
      </c>
      <c r="B291" s="250" t="s">
        <v>574</v>
      </c>
      <c r="C291" s="251"/>
      <c r="D291" s="51">
        <f>D294+D292</f>
        <v>103</v>
      </c>
      <c r="E291" s="37"/>
      <c r="N291" s="44"/>
    </row>
    <row r="292" spans="1:14" s="32" customFormat="1" ht="12.75">
      <c r="A292" s="284" t="s">
        <v>220</v>
      </c>
      <c r="B292" s="250" t="s">
        <v>574</v>
      </c>
      <c r="C292" s="251" t="s">
        <v>216</v>
      </c>
      <c r="D292" s="51">
        <f>D293</f>
        <v>58</v>
      </c>
      <c r="N292" s="44"/>
    </row>
    <row r="293" spans="1:14" ht="15.75">
      <c r="A293" s="284" t="s">
        <v>221</v>
      </c>
      <c r="B293" s="250" t="s">
        <v>574</v>
      </c>
      <c r="C293" s="251" t="s">
        <v>215</v>
      </c>
      <c r="D293" s="51">
        <v>58</v>
      </c>
      <c r="N293" s="3"/>
    </row>
    <row r="294" spans="1:14" s="32" customFormat="1" ht="12.75">
      <c r="A294" s="284" t="s">
        <v>220</v>
      </c>
      <c r="B294" s="250" t="s">
        <v>574</v>
      </c>
      <c r="C294" s="251" t="s">
        <v>206</v>
      </c>
      <c r="D294" s="51">
        <f>D295</f>
        <v>45</v>
      </c>
      <c r="E294" s="37"/>
      <c r="N294" s="44"/>
    </row>
    <row r="295" spans="1:14" s="32" customFormat="1" ht="12.75">
      <c r="A295" s="284" t="s">
        <v>221</v>
      </c>
      <c r="B295" s="250" t="s">
        <v>574</v>
      </c>
      <c r="C295" s="251" t="s">
        <v>222</v>
      </c>
      <c r="D295" s="51">
        <v>45</v>
      </c>
      <c r="N295" s="44"/>
    </row>
    <row r="296" spans="1:4" s="32" customFormat="1" ht="12.75">
      <c r="A296" s="284" t="s">
        <v>389</v>
      </c>
      <c r="B296" s="250" t="s">
        <v>45</v>
      </c>
      <c r="C296" s="251"/>
      <c r="D296" s="51">
        <f>D298+D300</f>
        <v>351.5</v>
      </c>
    </row>
    <row r="297" spans="1:4" s="32" customFormat="1" ht="12.75">
      <c r="A297" s="252" t="s">
        <v>264</v>
      </c>
      <c r="B297" s="250" t="s">
        <v>45</v>
      </c>
      <c r="C297" s="251" t="s">
        <v>216</v>
      </c>
      <c r="D297" s="51">
        <f>D298</f>
        <v>321.5</v>
      </c>
    </row>
    <row r="298" spans="1:4" s="32" customFormat="1" ht="12.75">
      <c r="A298" s="252" t="s">
        <v>217</v>
      </c>
      <c r="B298" s="250" t="s">
        <v>45</v>
      </c>
      <c r="C298" s="251" t="s">
        <v>215</v>
      </c>
      <c r="D298" s="51">
        <v>321.5</v>
      </c>
    </row>
    <row r="299" spans="1:4" s="32" customFormat="1" ht="12.75">
      <c r="A299" s="284" t="s">
        <v>220</v>
      </c>
      <c r="B299" s="250" t="s">
        <v>45</v>
      </c>
      <c r="C299" s="251" t="s">
        <v>206</v>
      </c>
      <c r="D299" s="51">
        <f>D300</f>
        <v>30</v>
      </c>
    </row>
    <row r="300" spans="1:4" s="32" customFormat="1" ht="12.75">
      <c r="A300" s="284" t="s">
        <v>221</v>
      </c>
      <c r="B300" s="250" t="s">
        <v>45</v>
      </c>
      <c r="C300" s="251" t="s">
        <v>222</v>
      </c>
      <c r="D300" s="51">
        <v>30</v>
      </c>
    </row>
    <row r="301" spans="1:4" s="32" customFormat="1" ht="12.75">
      <c r="A301" s="284" t="s">
        <v>320</v>
      </c>
      <c r="B301" s="250" t="s">
        <v>291</v>
      </c>
      <c r="C301" s="251"/>
      <c r="D301" s="51">
        <f>D302</f>
        <v>90</v>
      </c>
    </row>
    <row r="302" spans="1:4" s="32" customFormat="1" ht="12.75">
      <c r="A302" s="284" t="s">
        <v>220</v>
      </c>
      <c r="B302" s="250" t="s">
        <v>291</v>
      </c>
      <c r="C302" s="251" t="s">
        <v>206</v>
      </c>
      <c r="D302" s="51">
        <f>D303</f>
        <v>90</v>
      </c>
    </row>
    <row r="303" spans="1:4" s="32" customFormat="1" ht="12.75">
      <c r="A303" s="284" t="s">
        <v>221</v>
      </c>
      <c r="B303" s="250" t="s">
        <v>291</v>
      </c>
      <c r="C303" s="251" t="s">
        <v>222</v>
      </c>
      <c r="D303" s="51">
        <v>90</v>
      </c>
    </row>
    <row r="304" spans="1:4" s="32" customFormat="1" ht="12.75">
      <c r="A304" s="284" t="s">
        <v>379</v>
      </c>
      <c r="B304" s="250" t="s">
        <v>321</v>
      </c>
      <c r="C304" s="251"/>
      <c r="D304" s="51">
        <f>D305</f>
        <v>3099.1</v>
      </c>
    </row>
    <row r="305" spans="1:9" s="20" customFormat="1" ht="12.75">
      <c r="A305" s="284" t="s">
        <v>220</v>
      </c>
      <c r="B305" s="250" t="s">
        <v>321</v>
      </c>
      <c r="C305" s="251" t="s">
        <v>206</v>
      </c>
      <c r="D305" s="51">
        <f>D306</f>
        <v>3099.1</v>
      </c>
      <c r="I305" s="32"/>
    </row>
    <row r="306" spans="1:9" s="60" customFormat="1" ht="12.75">
      <c r="A306" s="284" t="s">
        <v>221</v>
      </c>
      <c r="B306" s="250" t="s">
        <v>321</v>
      </c>
      <c r="C306" s="251" t="s">
        <v>222</v>
      </c>
      <c r="D306" s="51">
        <v>3099.1</v>
      </c>
      <c r="I306" s="75"/>
    </row>
    <row r="307" spans="1:9" s="60" customFormat="1" ht="12.75">
      <c r="A307" s="290" t="s">
        <v>467</v>
      </c>
      <c r="B307" s="271" t="s">
        <v>46</v>
      </c>
      <c r="C307" s="272"/>
      <c r="D307" s="50">
        <f>D308+D311+D314+D317+D320+D323+D326+D329+D332+D335</f>
        <v>20022.896</v>
      </c>
      <c r="I307" s="75"/>
    </row>
    <row r="308" spans="1:9" s="60" customFormat="1" ht="12.75">
      <c r="A308" s="284" t="s">
        <v>125</v>
      </c>
      <c r="B308" s="250" t="s">
        <v>481</v>
      </c>
      <c r="C308" s="251"/>
      <c r="D308" s="51">
        <f>D309</f>
        <v>9864.7</v>
      </c>
      <c r="I308" s="75"/>
    </row>
    <row r="309" spans="1:9" s="60" customFormat="1" ht="12.75">
      <c r="A309" s="284" t="s">
        <v>220</v>
      </c>
      <c r="B309" s="250" t="s">
        <v>481</v>
      </c>
      <c r="C309" s="251" t="s">
        <v>206</v>
      </c>
      <c r="D309" s="51">
        <f>D310</f>
        <v>9864.7</v>
      </c>
      <c r="I309" s="75"/>
    </row>
    <row r="310" spans="1:9" s="60" customFormat="1" ht="12.75">
      <c r="A310" s="284" t="s">
        <v>221</v>
      </c>
      <c r="B310" s="250" t="s">
        <v>481</v>
      </c>
      <c r="C310" s="251" t="s">
        <v>222</v>
      </c>
      <c r="D310" s="51">
        <f>9764.7+100</f>
        <v>9864.7</v>
      </c>
      <c r="I310" s="75"/>
    </row>
    <row r="311" spans="1:9" s="60" customFormat="1" ht="12.75">
      <c r="A311" s="284" t="s">
        <v>253</v>
      </c>
      <c r="B311" s="250" t="s">
        <v>482</v>
      </c>
      <c r="C311" s="251"/>
      <c r="D311" s="51">
        <f>D312</f>
        <v>69.3</v>
      </c>
      <c r="I311" s="75"/>
    </row>
    <row r="312" spans="1:9" s="60" customFormat="1" ht="12.75">
      <c r="A312" s="284" t="s">
        <v>220</v>
      </c>
      <c r="B312" s="250" t="s">
        <v>482</v>
      </c>
      <c r="C312" s="251" t="s">
        <v>206</v>
      </c>
      <c r="D312" s="51">
        <f>D313</f>
        <v>69.3</v>
      </c>
      <c r="I312" s="75"/>
    </row>
    <row r="313" spans="1:9" s="60" customFormat="1" ht="12.75">
      <c r="A313" s="284" t="s">
        <v>221</v>
      </c>
      <c r="B313" s="250" t="s">
        <v>482</v>
      </c>
      <c r="C313" s="251" t="s">
        <v>222</v>
      </c>
      <c r="D313" s="51">
        <v>69.3</v>
      </c>
      <c r="I313" s="75"/>
    </row>
    <row r="314" spans="1:9" s="60" customFormat="1" ht="12.75">
      <c r="A314" s="291" t="s">
        <v>8</v>
      </c>
      <c r="B314" s="292" t="s">
        <v>615</v>
      </c>
      <c r="C314" s="251"/>
      <c r="D314" s="51">
        <f>D315</f>
        <v>1096.4</v>
      </c>
      <c r="I314" s="75"/>
    </row>
    <row r="315" spans="1:9" s="60" customFormat="1" ht="12.75">
      <c r="A315" s="169" t="s">
        <v>317</v>
      </c>
      <c r="B315" s="292" t="s">
        <v>615</v>
      </c>
      <c r="C315" s="251" t="s">
        <v>356</v>
      </c>
      <c r="D315" s="51">
        <f>D316</f>
        <v>1096.4</v>
      </c>
      <c r="I315" s="75"/>
    </row>
    <row r="316" spans="1:9" s="20" customFormat="1" ht="12.75">
      <c r="A316" s="291" t="s">
        <v>221</v>
      </c>
      <c r="B316" s="292" t="s">
        <v>615</v>
      </c>
      <c r="C316" s="251" t="s">
        <v>222</v>
      </c>
      <c r="D316" s="51">
        <v>1096.4</v>
      </c>
      <c r="I316" s="32"/>
    </row>
    <row r="317" spans="1:9" s="20" customFormat="1" ht="12.75">
      <c r="A317" s="284" t="s">
        <v>368</v>
      </c>
      <c r="B317" s="250" t="s">
        <v>645</v>
      </c>
      <c r="C317" s="251"/>
      <c r="D317" s="51">
        <f>D318</f>
        <v>1476.996</v>
      </c>
      <c r="I317" s="32"/>
    </row>
    <row r="318" spans="1:9" s="20" customFormat="1" ht="12.75">
      <c r="A318" s="284" t="s">
        <v>317</v>
      </c>
      <c r="B318" s="250" t="s">
        <v>645</v>
      </c>
      <c r="C318" s="251" t="s">
        <v>356</v>
      </c>
      <c r="D318" s="51">
        <f>D319</f>
        <v>1476.996</v>
      </c>
      <c r="I318" s="32"/>
    </row>
    <row r="319" spans="1:9" s="20" customFormat="1" ht="12.75">
      <c r="A319" s="284" t="s">
        <v>221</v>
      </c>
      <c r="B319" s="250" t="s">
        <v>645</v>
      </c>
      <c r="C319" s="251" t="s">
        <v>222</v>
      </c>
      <c r="D319" s="51">
        <v>1476.996</v>
      </c>
      <c r="I319" s="32"/>
    </row>
    <row r="320" spans="1:9" s="20" customFormat="1" ht="12.75">
      <c r="A320" s="284" t="s">
        <v>324</v>
      </c>
      <c r="B320" s="250" t="s">
        <v>483</v>
      </c>
      <c r="C320" s="251"/>
      <c r="D320" s="51">
        <f>D321</f>
        <v>20</v>
      </c>
      <c r="I320" s="32"/>
    </row>
    <row r="321" spans="1:9" s="20" customFormat="1" ht="12.75">
      <c r="A321" s="284" t="s">
        <v>220</v>
      </c>
      <c r="B321" s="250" t="s">
        <v>483</v>
      </c>
      <c r="C321" s="251" t="s">
        <v>356</v>
      </c>
      <c r="D321" s="51">
        <f>D322</f>
        <v>20</v>
      </c>
      <c r="I321" s="32"/>
    </row>
    <row r="322" spans="1:9" s="20" customFormat="1" ht="12.75">
      <c r="A322" s="284" t="s">
        <v>221</v>
      </c>
      <c r="B322" s="250" t="s">
        <v>483</v>
      </c>
      <c r="C322" s="251" t="s">
        <v>222</v>
      </c>
      <c r="D322" s="51">
        <v>20</v>
      </c>
      <c r="I322" s="32"/>
    </row>
    <row r="323" spans="1:9" s="20" customFormat="1" ht="12.75">
      <c r="A323" s="284" t="s">
        <v>325</v>
      </c>
      <c r="B323" s="250" t="s">
        <v>484</v>
      </c>
      <c r="C323" s="251"/>
      <c r="D323" s="51">
        <f>D324</f>
        <v>162.8</v>
      </c>
      <c r="I323" s="32"/>
    </row>
    <row r="324" spans="1:9" s="20" customFormat="1" ht="12.75">
      <c r="A324" s="284" t="s">
        <v>220</v>
      </c>
      <c r="B324" s="250" t="s">
        <v>484</v>
      </c>
      <c r="C324" s="251" t="s">
        <v>356</v>
      </c>
      <c r="D324" s="51">
        <f>D325</f>
        <v>162.8</v>
      </c>
      <c r="I324" s="32"/>
    </row>
    <row r="325" spans="1:9" s="20" customFormat="1" ht="12.75">
      <c r="A325" s="284" t="s">
        <v>221</v>
      </c>
      <c r="B325" s="250" t="s">
        <v>484</v>
      </c>
      <c r="C325" s="251" t="s">
        <v>222</v>
      </c>
      <c r="D325" s="51">
        <f>235-72.2</f>
        <v>162.8</v>
      </c>
      <c r="I325" s="32"/>
    </row>
    <row r="326" spans="1:9" s="20" customFormat="1" ht="12.75">
      <c r="A326" s="284" t="s">
        <v>326</v>
      </c>
      <c r="B326" s="250" t="s">
        <v>571</v>
      </c>
      <c r="C326" s="251"/>
      <c r="D326" s="51">
        <f>D327</f>
        <v>1100.7</v>
      </c>
      <c r="I326" s="32"/>
    </row>
    <row r="327" spans="1:9" s="20" customFormat="1" ht="12.75">
      <c r="A327" s="284" t="s">
        <v>220</v>
      </c>
      <c r="B327" s="250" t="s">
        <v>571</v>
      </c>
      <c r="C327" s="251" t="s">
        <v>206</v>
      </c>
      <c r="D327" s="51">
        <f>D328</f>
        <v>1100.7</v>
      </c>
      <c r="I327" s="32"/>
    </row>
    <row r="328" spans="1:9" s="20" customFormat="1" ht="12.75">
      <c r="A328" s="284" t="s">
        <v>221</v>
      </c>
      <c r="B328" s="250" t="s">
        <v>571</v>
      </c>
      <c r="C328" s="251" t="s">
        <v>222</v>
      </c>
      <c r="D328" s="51">
        <v>1100.7</v>
      </c>
      <c r="I328" s="32"/>
    </row>
    <row r="329" spans="1:9" s="20" customFormat="1" ht="12.75">
      <c r="A329" s="284" t="s">
        <v>327</v>
      </c>
      <c r="B329" s="250" t="s">
        <v>485</v>
      </c>
      <c r="C329" s="251"/>
      <c r="D329" s="51">
        <f>D330</f>
        <v>909.2</v>
      </c>
      <c r="I329" s="32"/>
    </row>
    <row r="330" spans="1:9" s="20" customFormat="1" ht="12.75">
      <c r="A330" s="284" t="s">
        <v>220</v>
      </c>
      <c r="B330" s="250" t="s">
        <v>485</v>
      </c>
      <c r="C330" s="251" t="s">
        <v>356</v>
      </c>
      <c r="D330" s="51">
        <f>D331</f>
        <v>909.2</v>
      </c>
      <c r="I330" s="32"/>
    </row>
    <row r="331" spans="1:9" s="20" customFormat="1" ht="12.75">
      <c r="A331" s="284" t="s">
        <v>221</v>
      </c>
      <c r="B331" s="250" t="s">
        <v>485</v>
      </c>
      <c r="C331" s="251" t="s">
        <v>222</v>
      </c>
      <c r="D331" s="51">
        <v>909.2</v>
      </c>
      <c r="I331" s="32"/>
    </row>
    <row r="332" spans="1:9" s="20" customFormat="1" ht="12.75">
      <c r="A332" s="284" t="s">
        <v>379</v>
      </c>
      <c r="B332" s="250" t="s">
        <v>486</v>
      </c>
      <c r="C332" s="251"/>
      <c r="D332" s="51">
        <f>D333</f>
        <v>5063.8</v>
      </c>
      <c r="I332" s="32"/>
    </row>
    <row r="333" spans="1:9" s="20" customFormat="1" ht="12.75">
      <c r="A333" s="284" t="s">
        <v>220</v>
      </c>
      <c r="B333" s="250" t="s">
        <v>486</v>
      </c>
      <c r="C333" s="251" t="s">
        <v>206</v>
      </c>
      <c r="D333" s="51">
        <f>D334</f>
        <v>5063.8</v>
      </c>
      <c r="I333" s="32"/>
    </row>
    <row r="334" spans="1:9" s="20" customFormat="1" ht="12.75">
      <c r="A334" s="284" t="s">
        <v>221</v>
      </c>
      <c r="B334" s="250" t="s">
        <v>486</v>
      </c>
      <c r="C334" s="251" t="s">
        <v>222</v>
      </c>
      <c r="D334" s="51">
        <v>5063.8</v>
      </c>
      <c r="I334" s="32"/>
    </row>
    <row r="335" spans="1:9" s="20" customFormat="1" ht="24">
      <c r="A335" s="293" t="s">
        <v>573</v>
      </c>
      <c r="B335" s="250" t="s">
        <v>572</v>
      </c>
      <c r="C335" s="251"/>
      <c r="D335" s="51">
        <f>D336</f>
        <v>259</v>
      </c>
      <c r="I335" s="32"/>
    </row>
    <row r="336" spans="1:9" s="20" customFormat="1" ht="12.75">
      <c r="A336" s="284" t="s">
        <v>220</v>
      </c>
      <c r="B336" s="250" t="s">
        <v>572</v>
      </c>
      <c r="C336" s="251" t="s">
        <v>206</v>
      </c>
      <c r="D336" s="51">
        <f>D337</f>
        <v>259</v>
      </c>
      <c r="I336" s="32"/>
    </row>
    <row r="337" spans="1:9" s="20" customFormat="1" ht="12.75">
      <c r="A337" s="284" t="s">
        <v>221</v>
      </c>
      <c r="B337" s="250" t="s">
        <v>572</v>
      </c>
      <c r="C337" s="251" t="s">
        <v>222</v>
      </c>
      <c r="D337" s="51">
        <v>259</v>
      </c>
      <c r="I337" s="32"/>
    </row>
    <row r="338" spans="1:9" s="20" customFormat="1" ht="24">
      <c r="A338" s="275" t="s">
        <v>345</v>
      </c>
      <c r="B338" s="248" t="s">
        <v>15</v>
      </c>
      <c r="C338" s="249"/>
      <c r="D338" s="50">
        <f>D339+D346</f>
        <v>355</v>
      </c>
      <c r="I338" s="32"/>
    </row>
    <row r="339" spans="1:9" s="20" customFormat="1" ht="12.75">
      <c r="A339" s="253" t="s">
        <v>110</v>
      </c>
      <c r="B339" s="250" t="s">
        <v>16</v>
      </c>
      <c r="C339" s="294"/>
      <c r="D339" s="51">
        <f>D340+D342+D344</f>
        <v>320</v>
      </c>
      <c r="I339" s="32"/>
    </row>
    <row r="340" spans="1:9" s="20" customFormat="1" ht="12.75">
      <c r="A340" s="252" t="s">
        <v>264</v>
      </c>
      <c r="B340" s="250" t="s">
        <v>16</v>
      </c>
      <c r="C340" s="294" t="s">
        <v>216</v>
      </c>
      <c r="D340" s="51">
        <f>D341</f>
        <v>110</v>
      </c>
      <c r="I340" s="32"/>
    </row>
    <row r="341" spans="1:9" s="20" customFormat="1" ht="12.75">
      <c r="A341" s="252" t="s">
        <v>217</v>
      </c>
      <c r="B341" s="250" t="s">
        <v>16</v>
      </c>
      <c r="C341" s="294" t="s">
        <v>215</v>
      </c>
      <c r="D341" s="51">
        <v>110</v>
      </c>
      <c r="I341" s="32"/>
    </row>
    <row r="342" spans="1:9" s="20" customFormat="1" ht="12.75">
      <c r="A342" s="170" t="s">
        <v>220</v>
      </c>
      <c r="B342" s="250" t="s">
        <v>16</v>
      </c>
      <c r="C342" s="294" t="s">
        <v>206</v>
      </c>
      <c r="D342" s="51">
        <f>D343</f>
        <v>10</v>
      </c>
      <c r="I342" s="32"/>
    </row>
    <row r="343" spans="1:9" s="20" customFormat="1" ht="12.75">
      <c r="A343" s="170" t="s">
        <v>221</v>
      </c>
      <c r="B343" s="250" t="s">
        <v>16</v>
      </c>
      <c r="C343" s="294" t="s">
        <v>222</v>
      </c>
      <c r="D343" s="51">
        <v>10</v>
      </c>
      <c r="I343" s="32"/>
    </row>
    <row r="344" spans="1:9" s="20" customFormat="1" ht="12.75">
      <c r="A344" s="253" t="s">
        <v>107</v>
      </c>
      <c r="B344" s="250" t="s">
        <v>16</v>
      </c>
      <c r="C344" s="294" t="s">
        <v>100</v>
      </c>
      <c r="D344" s="51">
        <f>D345</f>
        <v>200</v>
      </c>
      <c r="I344" s="32"/>
    </row>
    <row r="345" spans="1:9" s="20" customFormat="1" ht="24">
      <c r="A345" s="253" t="s">
        <v>266</v>
      </c>
      <c r="B345" s="250" t="s">
        <v>16</v>
      </c>
      <c r="C345" s="294" t="s">
        <v>101</v>
      </c>
      <c r="D345" s="51">
        <v>200</v>
      </c>
      <c r="I345" s="32"/>
    </row>
    <row r="346" spans="1:9" s="20" customFormat="1" ht="12.75">
      <c r="A346" s="253" t="s">
        <v>145</v>
      </c>
      <c r="B346" s="250" t="s">
        <v>339</v>
      </c>
      <c r="C346" s="251"/>
      <c r="D346" s="51">
        <f>D347</f>
        <v>35</v>
      </c>
      <c r="E346" s="23"/>
      <c r="I346" s="32"/>
    </row>
    <row r="347" spans="1:9" s="20" customFormat="1" ht="12.75">
      <c r="A347" s="252" t="s">
        <v>264</v>
      </c>
      <c r="B347" s="250" t="s">
        <v>339</v>
      </c>
      <c r="C347" s="332" t="s">
        <v>216</v>
      </c>
      <c r="D347" s="51">
        <f>D348</f>
        <v>35</v>
      </c>
      <c r="E347" s="23"/>
      <c r="I347" s="32"/>
    </row>
    <row r="348" spans="1:9" s="20" customFormat="1" ht="12.75">
      <c r="A348" s="252" t="s">
        <v>217</v>
      </c>
      <c r="B348" s="250" t="s">
        <v>339</v>
      </c>
      <c r="C348" s="332" t="s">
        <v>215</v>
      </c>
      <c r="D348" s="51">
        <v>35</v>
      </c>
      <c r="E348" s="23"/>
      <c r="I348" s="32"/>
    </row>
    <row r="349" spans="1:9" s="20" customFormat="1" ht="12.75">
      <c r="A349" s="295" t="s">
        <v>387</v>
      </c>
      <c r="B349" s="248" t="s">
        <v>86</v>
      </c>
      <c r="C349" s="249"/>
      <c r="D349" s="50">
        <f>D350+D409+D427</f>
        <v>160582.9</v>
      </c>
      <c r="E349" s="23"/>
      <c r="I349" s="32"/>
    </row>
    <row r="350" spans="1:9" s="20" customFormat="1" ht="12.75">
      <c r="A350" s="296" t="s">
        <v>388</v>
      </c>
      <c r="B350" s="271" t="s">
        <v>87</v>
      </c>
      <c r="C350" s="251"/>
      <c r="D350" s="50">
        <f>D351+D354+D357+D360+D363+D366+D369+D372+D375+D378+D384+D391+D394+D397+D400+D381+D403+D406</f>
        <v>118296.9</v>
      </c>
      <c r="E350" s="23"/>
      <c r="I350" s="32"/>
    </row>
    <row r="351" spans="1:9" s="20" customFormat="1" ht="12.75">
      <c r="A351" s="297" t="s">
        <v>358</v>
      </c>
      <c r="B351" s="250" t="s">
        <v>260</v>
      </c>
      <c r="C351" s="251"/>
      <c r="D351" s="51">
        <f>D352</f>
        <v>22392.3</v>
      </c>
      <c r="E351" s="23"/>
      <c r="I351" s="32"/>
    </row>
    <row r="352" spans="1:9" s="20" customFormat="1" ht="12.75">
      <c r="A352" s="169" t="s">
        <v>220</v>
      </c>
      <c r="B352" s="250" t="s">
        <v>260</v>
      </c>
      <c r="C352" s="251" t="s">
        <v>206</v>
      </c>
      <c r="D352" s="321">
        <f>D353</f>
        <v>22392.3</v>
      </c>
      <c r="E352" s="23"/>
      <c r="I352" s="32"/>
    </row>
    <row r="353" spans="1:9" s="20" customFormat="1" ht="12.75">
      <c r="A353" s="170" t="s">
        <v>221</v>
      </c>
      <c r="B353" s="250" t="s">
        <v>260</v>
      </c>
      <c r="C353" s="251" t="s">
        <v>222</v>
      </c>
      <c r="D353" s="321">
        <v>22392.3</v>
      </c>
      <c r="E353" s="23"/>
      <c r="I353" s="33">
        <f>D353+15.6</f>
        <v>22407.899999999998</v>
      </c>
    </row>
    <row r="354" spans="1:9" s="20" customFormat="1" ht="12.75">
      <c r="A354" s="273" t="s">
        <v>253</v>
      </c>
      <c r="B354" s="250" t="s">
        <v>359</v>
      </c>
      <c r="C354" s="251"/>
      <c r="D354" s="51">
        <f>D355</f>
        <v>14.7</v>
      </c>
      <c r="E354" s="23"/>
      <c r="I354" s="32"/>
    </row>
    <row r="355" spans="1:9" s="20" customFormat="1" ht="12.75">
      <c r="A355" s="169" t="s">
        <v>220</v>
      </c>
      <c r="B355" s="250" t="s">
        <v>359</v>
      </c>
      <c r="C355" s="251" t="s">
        <v>206</v>
      </c>
      <c r="D355" s="321">
        <f>D356</f>
        <v>14.7</v>
      </c>
      <c r="E355" s="23"/>
      <c r="I355" s="32"/>
    </row>
    <row r="356" spans="1:9" s="20" customFormat="1" ht="12.75">
      <c r="A356" s="170" t="s">
        <v>221</v>
      </c>
      <c r="B356" s="250" t="s">
        <v>359</v>
      </c>
      <c r="C356" s="251" t="s">
        <v>222</v>
      </c>
      <c r="D356" s="321">
        <v>14.7</v>
      </c>
      <c r="E356" s="23"/>
      <c r="I356" s="32"/>
    </row>
    <row r="357" spans="1:9" s="20" customFormat="1" ht="12.75">
      <c r="A357" s="273" t="s">
        <v>328</v>
      </c>
      <c r="B357" s="250" t="s">
        <v>360</v>
      </c>
      <c r="C357" s="251"/>
      <c r="D357" s="51">
        <f>D358</f>
        <v>159.9</v>
      </c>
      <c r="E357" s="23"/>
      <c r="I357" s="32"/>
    </row>
    <row r="358" spans="1:9" s="20" customFormat="1" ht="12.75">
      <c r="A358" s="169" t="s">
        <v>220</v>
      </c>
      <c r="B358" s="250" t="s">
        <v>360</v>
      </c>
      <c r="C358" s="251" t="s">
        <v>206</v>
      </c>
      <c r="D358" s="321">
        <f>D359</f>
        <v>159.9</v>
      </c>
      <c r="E358" s="23"/>
      <c r="I358" s="32"/>
    </row>
    <row r="359" spans="1:9" s="20" customFormat="1" ht="12.75">
      <c r="A359" s="170" t="s">
        <v>221</v>
      </c>
      <c r="B359" s="250" t="s">
        <v>360</v>
      </c>
      <c r="C359" s="251" t="s">
        <v>222</v>
      </c>
      <c r="D359" s="321">
        <f>74.5+54.1+16+15.3</f>
        <v>159.9</v>
      </c>
      <c r="E359" s="23"/>
      <c r="I359" s="32"/>
    </row>
    <row r="360" spans="1:9" s="20" customFormat="1" ht="12.75">
      <c r="A360" s="170" t="s">
        <v>564</v>
      </c>
      <c r="B360" s="250" t="s">
        <v>563</v>
      </c>
      <c r="C360" s="251"/>
      <c r="D360" s="321">
        <f>D361</f>
        <v>125</v>
      </c>
      <c r="E360" s="23"/>
      <c r="I360" s="32"/>
    </row>
    <row r="361" spans="1:9" s="20" customFormat="1" ht="12.75">
      <c r="A361" s="169" t="s">
        <v>220</v>
      </c>
      <c r="B361" s="250" t="s">
        <v>563</v>
      </c>
      <c r="C361" s="251" t="s">
        <v>206</v>
      </c>
      <c r="D361" s="321">
        <f>D362</f>
        <v>125</v>
      </c>
      <c r="I361" s="32"/>
    </row>
    <row r="362" spans="1:9" s="20" customFormat="1" ht="12.75">
      <c r="A362" s="170" t="s">
        <v>221</v>
      </c>
      <c r="B362" s="250" t="s">
        <v>563</v>
      </c>
      <c r="C362" s="251" t="s">
        <v>222</v>
      </c>
      <c r="D362" s="321">
        <f>25+100</f>
        <v>125</v>
      </c>
      <c r="I362" s="32" t="s">
        <v>539</v>
      </c>
    </row>
    <row r="363" spans="1:9" s="20" customFormat="1" ht="12.75">
      <c r="A363" s="170" t="s">
        <v>562</v>
      </c>
      <c r="B363" s="250" t="s">
        <v>561</v>
      </c>
      <c r="C363" s="251"/>
      <c r="D363" s="321">
        <f>D364</f>
        <v>40</v>
      </c>
      <c r="I363" s="32"/>
    </row>
    <row r="364" spans="1:9" s="20" customFormat="1" ht="12.75">
      <c r="A364" s="169" t="s">
        <v>220</v>
      </c>
      <c r="B364" s="250" t="s">
        <v>561</v>
      </c>
      <c r="C364" s="251" t="s">
        <v>206</v>
      </c>
      <c r="D364" s="321">
        <f>D365</f>
        <v>40</v>
      </c>
      <c r="I364" s="32"/>
    </row>
    <row r="365" spans="1:9" s="20" customFormat="1" ht="12.75">
      <c r="A365" s="170" t="s">
        <v>221</v>
      </c>
      <c r="B365" s="250" t="s">
        <v>561</v>
      </c>
      <c r="C365" s="251" t="s">
        <v>222</v>
      </c>
      <c r="D365" s="321">
        <f>20+20</f>
        <v>40</v>
      </c>
      <c r="I365" s="32" t="s">
        <v>540</v>
      </c>
    </row>
    <row r="366" spans="1:9" s="20" customFormat="1" ht="12.75">
      <c r="A366" s="170" t="s">
        <v>368</v>
      </c>
      <c r="B366" s="250" t="s">
        <v>559</v>
      </c>
      <c r="C366" s="251"/>
      <c r="D366" s="321">
        <f>D367</f>
        <v>50</v>
      </c>
      <c r="I366" s="32"/>
    </row>
    <row r="367" spans="1:9" s="20" customFormat="1" ht="12.75">
      <c r="A367" s="169" t="s">
        <v>220</v>
      </c>
      <c r="B367" s="250" t="s">
        <v>559</v>
      </c>
      <c r="C367" s="251" t="s">
        <v>206</v>
      </c>
      <c r="D367" s="321">
        <f>D368</f>
        <v>50</v>
      </c>
      <c r="I367" s="32"/>
    </row>
    <row r="368" spans="1:9" s="20" customFormat="1" ht="12.75">
      <c r="A368" s="170" t="s">
        <v>221</v>
      </c>
      <c r="B368" s="250" t="s">
        <v>559</v>
      </c>
      <c r="C368" s="251" t="s">
        <v>222</v>
      </c>
      <c r="D368" s="321">
        <f>150-100</f>
        <v>50</v>
      </c>
      <c r="I368" s="32" t="s">
        <v>543</v>
      </c>
    </row>
    <row r="369" spans="1:9" s="20" customFormat="1" ht="12.75">
      <c r="A369" s="291" t="s">
        <v>361</v>
      </c>
      <c r="B369" s="250" t="s">
        <v>362</v>
      </c>
      <c r="C369" s="251"/>
      <c r="D369" s="321">
        <f>D370</f>
        <v>127</v>
      </c>
      <c r="I369" s="32"/>
    </row>
    <row r="370" spans="1:9" s="20" customFormat="1" ht="12.75">
      <c r="A370" s="169" t="s">
        <v>220</v>
      </c>
      <c r="B370" s="250" t="s">
        <v>362</v>
      </c>
      <c r="C370" s="251" t="s">
        <v>206</v>
      </c>
      <c r="D370" s="321">
        <f>D371</f>
        <v>127</v>
      </c>
      <c r="I370" s="32"/>
    </row>
    <row r="371" spans="1:9" s="20" customFormat="1" ht="12.75">
      <c r="A371" s="170" t="s">
        <v>221</v>
      </c>
      <c r="B371" s="250" t="s">
        <v>362</v>
      </c>
      <c r="C371" s="251" t="s">
        <v>222</v>
      </c>
      <c r="D371" s="321">
        <f>40.8+29.2+57</f>
        <v>127</v>
      </c>
      <c r="I371" s="32"/>
    </row>
    <row r="372" spans="1:9" s="20" customFormat="1" ht="12.75">
      <c r="A372" s="170" t="s">
        <v>325</v>
      </c>
      <c r="B372" s="250" t="s">
        <v>363</v>
      </c>
      <c r="C372" s="251"/>
      <c r="D372" s="321">
        <f>D373</f>
        <v>808.8</v>
      </c>
      <c r="I372" s="32"/>
    </row>
    <row r="373" spans="1:9" s="20" customFormat="1" ht="12.75">
      <c r="A373" s="169" t="s">
        <v>220</v>
      </c>
      <c r="B373" s="250" t="s">
        <v>363</v>
      </c>
      <c r="C373" s="251" t="s">
        <v>206</v>
      </c>
      <c r="D373" s="321">
        <f>D374</f>
        <v>808.8</v>
      </c>
      <c r="E373" s="21"/>
      <c r="I373" s="32"/>
    </row>
    <row r="374" spans="1:9" s="20" customFormat="1" ht="12.75">
      <c r="A374" s="170" t="s">
        <v>221</v>
      </c>
      <c r="B374" s="250" t="s">
        <v>363</v>
      </c>
      <c r="C374" s="251" t="s">
        <v>222</v>
      </c>
      <c r="D374" s="321">
        <f>34.5+635.3+88+51</f>
        <v>808.8</v>
      </c>
      <c r="I374" s="32"/>
    </row>
    <row r="375" spans="1:9" s="20" customFormat="1" ht="12.75">
      <c r="A375" s="170" t="s">
        <v>430</v>
      </c>
      <c r="B375" s="250" t="s">
        <v>560</v>
      </c>
      <c r="C375" s="251"/>
      <c r="D375" s="321">
        <f>D376</f>
        <v>308</v>
      </c>
      <c r="I375" s="32"/>
    </row>
    <row r="376" spans="1:9" s="20" customFormat="1" ht="12.75">
      <c r="A376" s="169" t="s">
        <v>220</v>
      </c>
      <c r="B376" s="250" t="s">
        <v>560</v>
      </c>
      <c r="C376" s="251" t="s">
        <v>206</v>
      </c>
      <c r="D376" s="321">
        <f>D377</f>
        <v>308</v>
      </c>
      <c r="E376" s="21"/>
      <c r="I376" s="32"/>
    </row>
    <row r="377" spans="1:9" s="20" customFormat="1" ht="12.75">
      <c r="A377" s="170" t="s">
        <v>221</v>
      </c>
      <c r="B377" s="250" t="s">
        <v>560</v>
      </c>
      <c r="C377" s="251" t="s">
        <v>222</v>
      </c>
      <c r="D377" s="321">
        <f>192+116</f>
        <v>308</v>
      </c>
      <c r="I377" s="32"/>
    </row>
    <row r="378" spans="1:9" s="20" customFormat="1" ht="12.75">
      <c r="A378" s="170" t="s">
        <v>364</v>
      </c>
      <c r="B378" s="250" t="s">
        <v>365</v>
      </c>
      <c r="C378" s="251"/>
      <c r="D378" s="321">
        <f>D379</f>
        <v>20</v>
      </c>
      <c r="I378" s="32"/>
    </row>
    <row r="379" spans="1:9" s="20" customFormat="1" ht="12.75">
      <c r="A379" s="169" t="s">
        <v>220</v>
      </c>
      <c r="B379" s="250" t="s">
        <v>365</v>
      </c>
      <c r="C379" s="251" t="s">
        <v>206</v>
      </c>
      <c r="D379" s="321">
        <f>D380</f>
        <v>20</v>
      </c>
      <c r="I379" s="32"/>
    </row>
    <row r="380" spans="1:9" s="20" customFormat="1" ht="12.75">
      <c r="A380" s="170" t="s">
        <v>221</v>
      </c>
      <c r="B380" s="250" t="s">
        <v>365</v>
      </c>
      <c r="C380" s="251" t="s">
        <v>222</v>
      </c>
      <c r="D380" s="321">
        <v>20</v>
      </c>
      <c r="I380" s="32"/>
    </row>
    <row r="381" spans="1:9" s="20" customFormat="1" ht="12.75">
      <c r="A381" s="253" t="s">
        <v>617</v>
      </c>
      <c r="B381" s="250" t="s">
        <v>622</v>
      </c>
      <c r="C381" s="251"/>
      <c r="D381" s="321">
        <f>D382</f>
        <v>1800</v>
      </c>
      <c r="I381" s="32"/>
    </row>
    <row r="382" spans="1:4" s="36" customFormat="1" ht="12.75">
      <c r="A382" s="169" t="s">
        <v>220</v>
      </c>
      <c r="B382" s="250" t="s">
        <v>622</v>
      </c>
      <c r="C382" s="251" t="s">
        <v>206</v>
      </c>
      <c r="D382" s="321">
        <f>D383</f>
        <v>1800</v>
      </c>
    </row>
    <row r="383" spans="1:4" s="36" customFormat="1" ht="12.75">
      <c r="A383" s="170" t="s">
        <v>221</v>
      </c>
      <c r="B383" s="250" t="s">
        <v>622</v>
      </c>
      <c r="C383" s="251" t="s">
        <v>222</v>
      </c>
      <c r="D383" s="321">
        <v>1800</v>
      </c>
    </row>
    <row r="384" spans="1:4" s="36" customFormat="1" ht="12.75">
      <c r="A384" s="273" t="s">
        <v>249</v>
      </c>
      <c r="B384" s="250" t="s">
        <v>250</v>
      </c>
      <c r="C384" s="251"/>
      <c r="D384" s="51">
        <f>D385+D388</f>
        <v>73442.7</v>
      </c>
    </row>
    <row r="385" spans="1:4" s="36" customFormat="1" ht="12.75">
      <c r="A385" s="273" t="s">
        <v>262</v>
      </c>
      <c r="B385" s="250" t="s">
        <v>251</v>
      </c>
      <c r="C385" s="251"/>
      <c r="D385" s="51">
        <f>D386</f>
        <v>52368.9</v>
      </c>
    </row>
    <row r="386" spans="1:4" s="36" customFormat="1" ht="12.75">
      <c r="A386" s="169" t="s">
        <v>220</v>
      </c>
      <c r="B386" s="250" t="s">
        <v>251</v>
      </c>
      <c r="C386" s="251" t="s">
        <v>206</v>
      </c>
      <c r="D386" s="51">
        <f>D387</f>
        <v>52368.9</v>
      </c>
    </row>
    <row r="387" spans="1:4" s="32" customFormat="1" ht="12.75">
      <c r="A387" s="170" t="s">
        <v>221</v>
      </c>
      <c r="B387" s="250" t="s">
        <v>251</v>
      </c>
      <c r="C387" s="251" t="s">
        <v>222</v>
      </c>
      <c r="D387" s="51">
        <v>52368.9</v>
      </c>
    </row>
    <row r="388" spans="1:4" s="32" customFormat="1" ht="12.75">
      <c r="A388" s="170" t="s">
        <v>366</v>
      </c>
      <c r="B388" s="250" t="s">
        <v>252</v>
      </c>
      <c r="C388" s="251"/>
      <c r="D388" s="51">
        <f>D389</f>
        <v>21073.8</v>
      </c>
    </row>
    <row r="389" spans="1:4" s="32" customFormat="1" ht="12.75">
      <c r="A389" s="169" t="s">
        <v>220</v>
      </c>
      <c r="B389" s="250" t="s">
        <v>252</v>
      </c>
      <c r="C389" s="251" t="s">
        <v>206</v>
      </c>
      <c r="D389" s="51">
        <f>D390</f>
        <v>21073.8</v>
      </c>
    </row>
    <row r="390" spans="1:4" s="32" customFormat="1" ht="12.75">
      <c r="A390" s="170" t="s">
        <v>221</v>
      </c>
      <c r="B390" s="250" t="s">
        <v>252</v>
      </c>
      <c r="C390" s="251" t="s">
        <v>222</v>
      </c>
      <c r="D390" s="51">
        <v>21073.8</v>
      </c>
    </row>
    <row r="391" spans="1:4" s="34" customFormat="1" ht="24">
      <c r="A391" s="263" t="s">
        <v>367</v>
      </c>
      <c r="B391" s="250" t="s">
        <v>316</v>
      </c>
      <c r="C391" s="298"/>
      <c r="D391" s="51">
        <f>D392</f>
        <v>1350</v>
      </c>
    </row>
    <row r="392" spans="1:4" s="32" customFormat="1" ht="12.75">
      <c r="A392" s="169" t="s">
        <v>220</v>
      </c>
      <c r="B392" s="250" t="s">
        <v>316</v>
      </c>
      <c r="C392" s="251" t="s">
        <v>206</v>
      </c>
      <c r="D392" s="51">
        <f>D393</f>
        <v>1350</v>
      </c>
    </row>
    <row r="393" spans="1:4" s="44" customFormat="1" ht="12.75">
      <c r="A393" s="170" t="s">
        <v>221</v>
      </c>
      <c r="B393" s="250" t="s">
        <v>316</v>
      </c>
      <c r="C393" s="251" t="s">
        <v>222</v>
      </c>
      <c r="D393" s="51">
        <f>1250+100</f>
        <v>1350</v>
      </c>
    </row>
    <row r="394" spans="1:4" s="44" customFormat="1" ht="12.75">
      <c r="A394" s="263" t="s">
        <v>538</v>
      </c>
      <c r="B394" s="250" t="s">
        <v>537</v>
      </c>
      <c r="C394" s="298"/>
      <c r="D394" s="51">
        <f>D395</f>
        <v>8562.6</v>
      </c>
    </row>
    <row r="395" spans="1:4" s="44" customFormat="1" ht="12.75">
      <c r="A395" s="169" t="s">
        <v>220</v>
      </c>
      <c r="B395" s="250" t="s">
        <v>537</v>
      </c>
      <c r="C395" s="251" t="s">
        <v>206</v>
      </c>
      <c r="D395" s="51">
        <f>D396</f>
        <v>8562.6</v>
      </c>
    </row>
    <row r="396" spans="1:4" s="44" customFormat="1" ht="12.75">
      <c r="A396" s="291" t="s">
        <v>221</v>
      </c>
      <c r="B396" s="250" t="s">
        <v>537</v>
      </c>
      <c r="C396" s="251" t="s">
        <v>222</v>
      </c>
      <c r="D396" s="51">
        <v>8562.6</v>
      </c>
    </row>
    <row r="397" spans="1:4" s="44" customFormat="1" ht="24">
      <c r="A397" s="263" t="s">
        <v>541</v>
      </c>
      <c r="B397" s="250" t="s">
        <v>542</v>
      </c>
      <c r="C397" s="298"/>
      <c r="D397" s="51">
        <f>D398</f>
        <v>222.5</v>
      </c>
    </row>
    <row r="398" spans="1:4" s="44" customFormat="1" ht="12.75">
      <c r="A398" s="169" t="s">
        <v>220</v>
      </c>
      <c r="B398" s="250" t="s">
        <v>542</v>
      </c>
      <c r="C398" s="251" t="s">
        <v>206</v>
      </c>
      <c r="D398" s="51">
        <f>D399</f>
        <v>222.5</v>
      </c>
    </row>
    <row r="399" spans="1:4" s="44" customFormat="1" ht="12.75">
      <c r="A399" s="170" t="s">
        <v>221</v>
      </c>
      <c r="B399" s="250" t="s">
        <v>542</v>
      </c>
      <c r="C399" s="251" t="s">
        <v>222</v>
      </c>
      <c r="D399" s="51">
        <f>206.9+15.6</f>
        <v>222.5</v>
      </c>
    </row>
    <row r="400" spans="1:4" s="44" customFormat="1" ht="24">
      <c r="A400" s="263" t="s">
        <v>604</v>
      </c>
      <c r="B400" s="250" t="s">
        <v>603</v>
      </c>
      <c r="C400" s="298"/>
      <c r="D400" s="51">
        <f>D401</f>
        <v>58.5</v>
      </c>
    </row>
    <row r="401" spans="1:4" s="44" customFormat="1" ht="12.75">
      <c r="A401" s="169" t="s">
        <v>220</v>
      </c>
      <c r="B401" s="250" t="s">
        <v>603</v>
      </c>
      <c r="C401" s="251" t="s">
        <v>206</v>
      </c>
      <c r="D401" s="51">
        <f>D402</f>
        <v>58.5</v>
      </c>
    </row>
    <row r="402" spans="1:4" s="44" customFormat="1" ht="12.75">
      <c r="A402" s="170" t="s">
        <v>221</v>
      </c>
      <c r="B402" s="250" t="s">
        <v>603</v>
      </c>
      <c r="C402" s="251" t="s">
        <v>222</v>
      </c>
      <c r="D402" s="51">
        <v>58.5</v>
      </c>
    </row>
    <row r="403" spans="1:4" s="32" customFormat="1" ht="12.75">
      <c r="A403" s="263" t="s">
        <v>635</v>
      </c>
      <c r="B403" s="250" t="s">
        <v>636</v>
      </c>
      <c r="C403" s="298"/>
      <c r="D403" s="51">
        <f>D404</f>
        <v>6639.2</v>
      </c>
    </row>
    <row r="404" spans="1:4" s="32" customFormat="1" ht="12.75">
      <c r="A404" s="169" t="s">
        <v>220</v>
      </c>
      <c r="B404" s="250" t="s">
        <v>636</v>
      </c>
      <c r="C404" s="251" t="s">
        <v>206</v>
      </c>
      <c r="D404" s="51">
        <f>D405</f>
        <v>6639.2</v>
      </c>
    </row>
    <row r="405" spans="1:4" s="34" customFormat="1" ht="12.75">
      <c r="A405" s="170" t="s">
        <v>221</v>
      </c>
      <c r="B405" s="250" t="s">
        <v>636</v>
      </c>
      <c r="C405" s="251" t="s">
        <v>222</v>
      </c>
      <c r="D405" s="51">
        <v>6639.2</v>
      </c>
    </row>
    <row r="406" spans="1:4" s="32" customFormat="1" ht="12.75">
      <c r="A406" s="263" t="s">
        <v>635</v>
      </c>
      <c r="B406" s="250" t="s">
        <v>637</v>
      </c>
      <c r="C406" s="298"/>
      <c r="D406" s="51">
        <f>D407</f>
        <v>2175.7</v>
      </c>
    </row>
    <row r="407" spans="1:4" s="32" customFormat="1" ht="12.75">
      <c r="A407" s="169" t="s">
        <v>220</v>
      </c>
      <c r="B407" s="250" t="s">
        <v>637</v>
      </c>
      <c r="C407" s="251" t="s">
        <v>206</v>
      </c>
      <c r="D407" s="51">
        <f>D408</f>
        <v>2175.7</v>
      </c>
    </row>
    <row r="408" spans="1:4" s="34" customFormat="1" ht="12.75">
      <c r="A408" s="170" t="s">
        <v>221</v>
      </c>
      <c r="B408" s="250" t="s">
        <v>637</v>
      </c>
      <c r="C408" s="251" t="s">
        <v>222</v>
      </c>
      <c r="D408" s="51">
        <v>2175.7</v>
      </c>
    </row>
    <row r="409" spans="1:4" s="32" customFormat="1" ht="12.75">
      <c r="A409" s="278" t="s">
        <v>583</v>
      </c>
      <c r="B409" s="271" t="s">
        <v>261</v>
      </c>
      <c r="C409" s="272"/>
      <c r="D409" s="320">
        <f>D410+D421+D415+D418+D424</f>
        <v>3320.1</v>
      </c>
    </row>
    <row r="410" spans="1:4" s="32" customFormat="1" ht="12.75">
      <c r="A410" s="88" t="s">
        <v>114</v>
      </c>
      <c r="B410" s="250" t="s">
        <v>258</v>
      </c>
      <c r="C410" s="251"/>
      <c r="D410" s="321">
        <f>D411+D413</f>
        <v>589</v>
      </c>
    </row>
    <row r="411" spans="1:4" s="34" customFormat="1" ht="24">
      <c r="A411" s="252" t="s">
        <v>139</v>
      </c>
      <c r="B411" s="250" t="s">
        <v>258</v>
      </c>
      <c r="C411" s="251" t="s">
        <v>228</v>
      </c>
      <c r="D411" s="321">
        <f>D412</f>
        <v>25</v>
      </c>
    </row>
    <row r="412" spans="1:4" s="32" customFormat="1" ht="12.75">
      <c r="A412" s="273" t="s">
        <v>223</v>
      </c>
      <c r="B412" s="250" t="s">
        <v>258</v>
      </c>
      <c r="C412" s="251" t="s">
        <v>224</v>
      </c>
      <c r="D412" s="321">
        <v>25</v>
      </c>
    </row>
    <row r="413" spans="1:4" s="32" customFormat="1" ht="12.75">
      <c r="A413" s="169" t="s">
        <v>220</v>
      </c>
      <c r="B413" s="250" t="s">
        <v>258</v>
      </c>
      <c r="C413" s="251" t="s">
        <v>206</v>
      </c>
      <c r="D413" s="321">
        <f>D414</f>
        <v>564</v>
      </c>
    </row>
    <row r="414" spans="1:4" s="32" customFormat="1" ht="12.75">
      <c r="A414" s="170" t="s">
        <v>221</v>
      </c>
      <c r="B414" s="250" t="s">
        <v>258</v>
      </c>
      <c r="C414" s="251" t="s">
        <v>222</v>
      </c>
      <c r="D414" s="321">
        <f>400+100+64</f>
        <v>564</v>
      </c>
    </row>
    <row r="415" spans="1:4" s="32" customFormat="1" ht="12.75">
      <c r="A415" s="273" t="s">
        <v>320</v>
      </c>
      <c r="B415" s="250" t="s">
        <v>353</v>
      </c>
      <c r="C415" s="251"/>
      <c r="D415" s="321">
        <f>D416</f>
        <v>578</v>
      </c>
    </row>
    <row r="416" spans="1:4" s="32" customFormat="1" ht="12.75">
      <c r="A416" s="169" t="s">
        <v>220</v>
      </c>
      <c r="B416" s="250" t="s">
        <v>353</v>
      </c>
      <c r="C416" s="251" t="s">
        <v>206</v>
      </c>
      <c r="D416" s="321">
        <f>D417</f>
        <v>578</v>
      </c>
    </row>
    <row r="417" spans="1:4" s="32" customFormat="1" ht="12.75">
      <c r="A417" s="170" t="s">
        <v>221</v>
      </c>
      <c r="B417" s="250" t="s">
        <v>353</v>
      </c>
      <c r="C417" s="251" t="s">
        <v>222</v>
      </c>
      <c r="D417" s="321">
        <f>458+120</f>
        <v>578</v>
      </c>
    </row>
    <row r="418" spans="1:4" s="32" customFormat="1" ht="12.75">
      <c r="A418" s="273" t="s">
        <v>549</v>
      </c>
      <c r="B418" s="250" t="s">
        <v>548</v>
      </c>
      <c r="C418" s="251"/>
      <c r="D418" s="321">
        <f>D419</f>
        <v>0</v>
      </c>
    </row>
    <row r="419" spans="1:4" s="32" customFormat="1" ht="12.75">
      <c r="A419" s="169" t="s">
        <v>220</v>
      </c>
      <c r="B419" s="250" t="s">
        <v>548</v>
      </c>
      <c r="C419" s="251" t="s">
        <v>206</v>
      </c>
      <c r="D419" s="321">
        <f>D420</f>
        <v>0</v>
      </c>
    </row>
    <row r="420" spans="1:4" s="32" customFormat="1" ht="12.75">
      <c r="A420" s="170" t="s">
        <v>221</v>
      </c>
      <c r="B420" s="250" t="s">
        <v>548</v>
      </c>
      <c r="C420" s="251" t="s">
        <v>222</v>
      </c>
      <c r="D420" s="321">
        <v>0</v>
      </c>
    </row>
    <row r="421" spans="1:4" s="32" customFormat="1" ht="24">
      <c r="A421" s="266" t="s">
        <v>533</v>
      </c>
      <c r="B421" s="259" t="s">
        <v>534</v>
      </c>
      <c r="C421" s="251"/>
      <c r="D421" s="321">
        <f>D422</f>
        <v>1653.1</v>
      </c>
    </row>
    <row r="422" spans="1:4" s="32" customFormat="1" ht="12.75">
      <c r="A422" s="261" t="s">
        <v>220</v>
      </c>
      <c r="B422" s="259" t="s">
        <v>534</v>
      </c>
      <c r="C422" s="251" t="s">
        <v>206</v>
      </c>
      <c r="D422" s="321">
        <f>D423</f>
        <v>1653.1</v>
      </c>
    </row>
    <row r="423" spans="1:4" s="32" customFormat="1" ht="12.75">
      <c r="A423" s="262" t="s">
        <v>221</v>
      </c>
      <c r="B423" s="259" t="s">
        <v>534</v>
      </c>
      <c r="C423" s="251" t="s">
        <v>222</v>
      </c>
      <c r="D423" s="321">
        <v>1653.1</v>
      </c>
    </row>
    <row r="424" spans="1:4" s="32" customFormat="1" ht="12.75">
      <c r="A424" s="266" t="s">
        <v>617</v>
      </c>
      <c r="B424" s="259" t="s">
        <v>616</v>
      </c>
      <c r="C424" s="251"/>
      <c r="D424" s="321">
        <f>D425</f>
        <v>500</v>
      </c>
    </row>
    <row r="425" spans="1:4" s="32" customFormat="1" ht="12.75">
      <c r="A425" s="261" t="s">
        <v>220</v>
      </c>
      <c r="B425" s="259" t="s">
        <v>616</v>
      </c>
      <c r="C425" s="251" t="s">
        <v>206</v>
      </c>
      <c r="D425" s="321">
        <f>D426</f>
        <v>500</v>
      </c>
    </row>
    <row r="426" spans="1:4" s="32" customFormat="1" ht="12.75">
      <c r="A426" s="262" t="s">
        <v>221</v>
      </c>
      <c r="B426" s="259" t="s">
        <v>616</v>
      </c>
      <c r="C426" s="251" t="s">
        <v>222</v>
      </c>
      <c r="D426" s="321">
        <v>500</v>
      </c>
    </row>
    <row r="427" spans="1:4" s="32" customFormat="1" ht="24">
      <c r="A427" s="270" t="s">
        <v>581</v>
      </c>
      <c r="B427" s="271" t="s">
        <v>370</v>
      </c>
      <c r="C427" s="272"/>
      <c r="D427" s="50">
        <f>D428+D431+D434+D437+D440+D443+D446+D455+D452+D449+D464+D458+D461</f>
        <v>38965.9</v>
      </c>
    </row>
    <row r="428" spans="1:4" s="32" customFormat="1" ht="12.75">
      <c r="A428" s="168" t="s">
        <v>125</v>
      </c>
      <c r="B428" s="250" t="s">
        <v>371</v>
      </c>
      <c r="C428" s="251"/>
      <c r="D428" s="51">
        <f>D429</f>
        <v>35328.600000000006</v>
      </c>
    </row>
    <row r="429" spans="1:4" s="32" customFormat="1" ht="12.75">
      <c r="A429" s="169" t="s">
        <v>220</v>
      </c>
      <c r="B429" s="250" t="s">
        <v>371</v>
      </c>
      <c r="C429" s="251" t="s">
        <v>206</v>
      </c>
      <c r="D429" s="51">
        <f>D430</f>
        <v>35328.600000000006</v>
      </c>
    </row>
    <row r="430" spans="1:9" s="20" customFormat="1" ht="12.75">
      <c r="A430" s="170" t="s">
        <v>221</v>
      </c>
      <c r="B430" s="250" t="s">
        <v>371</v>
      </c>
      <c r="C430" s="251" t="s">
        <v>222</v>
      </c>
      <c r="D430" s="51">
        <f>35212.8+200-84.2</f>
        <v>35328.600000000006</v>
      </c>
      <c r="I430" s="32"/>
    </row>
    <row r="431" spans="1:9" s="20" customFormat="1" ht="12.75">
      <c r="A431" s="273" t="s">
        <v>253</v>
      </c>
      <c r="B431" s="250" t="s">
        <v>372</v>
      </c>
      <c r="C431" s="251"/>
      <c r="D431" s="51">
        <f>D432</f>
        <v>192.8</v>
      </c>
      <c r="I431" s="32"/>
    </row>
    <row r="432" spans="1:9" s="20" customFormat="1" ht="12.75">
      <c r="A432" s="169" t="s">
        <v>220</v>
      </c>
      <c r="B432" s="250" t="s">
        <v>372</v>
      </c>
      <c r="C432" s="251" t="s">
        <v>206</v>
      </c>
      <c r="D432" s="51">
        <f>D433</f>
        <v>192.8</v>
      </c>
      <c r="I432" s="32"/>
    </row>
    <row r="433" spans="1:9" s="20" customFormat="1" ht="12.75">
      <c r="A433" s="170" t="s">
        <v>221</v>
      </c>
      <c r="B433" s="250" t="s">
        <v>372</v>
      </c>
      <c r="C433" s="251" t="s">
        <v>222</v>
      </c>
      <c r="D433" s="51">
        <v>192.8</v>
      </c>
      <c r="I433" s="32"/>
    </row>
    <row r="434" spans="1:9" s="20" customFormat="1" ht="12.75">
      <c r="A434" s="274" t="s">
        <v>126</v>
      </c>
      <c r="B434" s="250" t="s">
        <v>373</v>
      </c>
      <c r="C434" s="251"/>
      <c r="D434" s="51">
        <f>D435</f>
        <v>145.8</v>
      </c>
      <c r="I434" s="32"/>
    </row>
    <row r="435" spans="1:9" s="20" customFormat="1" ht="12.75">
      <c r="A435" s="169" t="s">
        <v>220</v>
      </c>
      <c r="B435" s="250" t="s">
        <v>373</v>
      </c>
      <c r="C435" s="251" t="s">
        <v>206</v>
      </c>
      <c r="D435" s="51">
        <f>D436</f>
        <v>145.8</v>
      </c>
      <c r="I435" s="32"/>
    </row>
    <row r="436" spans="1:9" s="20" customFormat="1" ht="12.75">
      <c r="A436" s="170" t="s">
        <v>221</v>
      </c>
      <c r="B436" s="250" t="s">
        <v>373</v>
      </c>
      <c r="C436" s="251" t="s">
        <v>222</v>
      </c>
      <c r="D436" s="51">
        <v>145.8</v>
      </c>
      <c r="I436" s="32"/>
    </row>
    <row r="437" spans="1:9" s="20" customFormat="1" ht="12.75">
      <c r="A437" s="273" t="s">
        <v>432</v>
      </c>
      <c r="B437" s="250" t="s">
        <v>570</v>
      </c>
      <c r="C437" s="251"/>
      <c r="D437" s="51">
        <f>D438</f>
        <v>114.2</v>
      </c>
      <c r="I437" s="32"/>
    </row>
    <row r="438" spans="1:9" s="20" customFormat="1" ht="12.75">
      <c r="A438" s="169" t="s">
        <v>220</v>
      </c>
      <c r="B438" s="250" t="s">
        <v>570</v>
      </c>
      <c r="C438" s="251" t="s">
        <v>206</v>
      </c>
      <c r="D438" s="51">
        <f>D439</f>
        <v>114.2</v>
      </c>
      <c r="I438" s="32"/>
    </row>
    <row r="439" spans="1:9" s="20" customFormat="1" ht="12.75">
      <c r="A439" s="170" t="s">
        <v>221</v>
      </c>
      <c r="B439" s="250" t="s">
        <v>570</v>
      </c>
      <c r="C439" s="251" t="s">
        <v>222</v>
      </c>
      <c r="D439" s="51">
        <v>114.2</v>
      </c>
      <c r="I439" s="32"/>
    </row>
    <row r="440" spans="1:9" s="20" customFormat="1" ht="12.75">
      <c r="A440" s="273" t="s">
        <v>323</v>
      </c>
      <c r="B440" s="250" t="s">
        <v>376</v>
      </c>
      <c r="C440" s="251"/>
      <c r="D440" s="51">
        <f>D441</f>
        <v>166.5</v>
      </c>
      <c r="I440" s="32"/>
    </row>
    <row r="441" spans="1:9" s="20" customFormat="1" ht="12.75">
      <c r="A441" s="169" t="s">
        <v>220</v>
      </c>
      <c r="B441" s="250" t="s">
        <v>376</v>
      </c>
      <c r="C441" s="251" t="s">
        <v>206</v>
      </c>
      <c r="D441" s="51">
        <f>D442</f>
        <v>166.5</v>
      </c>
      <c r="I441" s="32"/>
    </row>
    <row r="442" spans="1:9" s="20" customFormat="1" ht="12.75">
      <c r="A442" s="170" t="s">
        <v>221</v>
      </c>
      <c r="B442" s="250" t="s">
        <v>376</v>
      </c>
      <c r="C442" s="251" t="s">
        <v>222</v>
      </c>
      <c r="D442" s="51">
        <f>186.5-20</f>
        <v>166.5</v>
      </c>
      <c r="I442" s="32"/>
    </row>
    <row r="443" spans="1:9" s="20" customFormat="1" ht="12.75">
      <c r="A443" s="273" t="s">
        <v>325</v>
      </c>
      <c r="B443" s="250" t="s">
        <v>374</v>
      </c>
      <c r="C443" s="251"/>
      <c r="D443" s="51">
        <f>D444</f>
        <v>340.6</v>
      </c>
      <c r="I443" s="32"/>
    </row>
    <row r="444" spans="1:9" s="20" customFormat="1" ht="12.75">
      <c r="A444" s="169" t="s">
        <v>220</v>
      </c>
      <c r="B444" s="250" t="s">
        <v>374</v>
      </c>
      <c r="C444" s="251" t="s">
        <v>206</v>
      </c>
      <c r="D444" s="51">
        <f>D445</f>
        <v>340.6</v>
      </c>
      <c r="I444" s="32"/>
    </row>
    <row r="445" spans="1:9" s="20" customFormat="1" ht="12.75">
      <c r="A445" s="170" t="s">
        <v>221</v>
      </c>
      <c r="B445" s="250" t="s">
        <v>374</v>
      </c>
      <c r="C445" s="251" t="s">
        <v>222</v>
      </c>
      <c r="D445" s="51">
        <v>340.6</v>
      </c>
      <c r="I445" s="32"/>
    </row>
    <row r="446" spans="1:9" s="20" customFormat="1" ht="12.75">
      <c r="A446" s="273" t="s">
        <v>326</v>
      </c>
      <c r="B446" s="250" t="s">
        <v>375</v>
      </c>
      <c r="C446" s="251"/>
      <c r="D446" s="51">
        <f>D447</f>
        <v>14.8</v>
      </c>
      <c r="I446" s="32"/>
    </row>
    <row r="447" spans="1:9" s="20" customFormat="1" ht="12.75">
      <c r="A447" s="169" t="s">
        <v>220</v>
      </c>
      <c r="B447" s="250" t="s">
        <v>375</v>
      </c>
      <c r="C447" s="251" t="s">
        <v>206</v>
      </c>
      <c r="D447" s="51">
        <f>D448</f>
        <v>14.8</v>
      </c>
      <c r="I447" s="32"/>
    </row>
    <row r="448" spans="1:9" s="20" customFormat="1" ht="12.75">
      <c r="A448" s="170" t="s">
        <v>221</v>
      </c>
      <c r="B448" s="250" t="s">
        <v>375</v>
      </c>
      <c r="C448" s="251" t="s">
        <v>222</v>
      </c>
      <c r="D448" s="51">
        <v>14.8</v>
      </c>
      <c r="I448" s="32"/>
    </row>
    <row r="449" spans="1:9" s="20" customFormat="1" ht="12.75">
      <c r="A449" s="273" t="s">
        <v>680</v>
      </c>
      <c r="B449" s="250" t="s">
        <v>687</v>
      </c>
      <c r="C449" s="251"/>
      <c r="D449" s="51">
        <f>D450</f>
        <v>603.6</v>
      </c>
      <c r="I449" s="32"/>
    </row>
    <row r="450" spans="1:9" s="20" customFormat="1" ht="12.75">
      <c r="A450" s="169" t="s">
        <v>220</v>
      </c>
      <c r="B450" s="250" t="s">
        <v>687</v>
      </c>
      <c r="C450" s="251" t="s">
        <v>206</v>
      </c>
      <c r="D450" s="51">
        <f>D451</f>
        <v>603.6</v>
      </c>
      <c r="I450" s="32"/>
    </row>
    <row r="451" spans="1:9" s="20" customFormat="1" ht="12.75">
      <c r="A451" s="170" t="s">
        <v>221</v>
      </c>
      <c r="B451" s="250" t="s">
        <v>687</v>
      </c>
      <c r="C451" s="251" t="s">
        <v>222</v>
      </c>
      <c r="D451" s="51">
        <v>603.6</v>
      </c>
      <c r="I451" s="32"/>
    </row>
    <row r="452" spans="1:9" s="20" customFormat="1" ht="24">
      <c r="A452" s="264" t="s">
        <v>657</v>
      </c>
      <c r="B452" s="268" t="s">
        <v>656</v>
      </c>
      <c r="C452" s="260"/>
      <c r="D452" s="321">
        <f>D453</f>
        <v>645.2</v>
      </c>
      <c r="I452" s="32"/>
    </row>
    <row r="453" spans="1:9" s="20" customFormat="1" ht="12.75">
      <c r="A453" s="261" t="s">
        <v>220</v>
      </c>
      <c r="B453" s="268" t="s">
        <v>656</v>
      </c>
      <c r="C453" s="260" t="s">
        <v>206</v>
      </c>
      <c r="D453" s="321">
        <f>D454</f>
        <v>645.2</v>
      </c>
      <c r="I453" s="32"/>
    </row>
    <row r="454" spans="1:9" s="20" customFormat="1" ht="12.75">
      <c r="A454" s="262" t="s">
        <v>221</v>
      </c>
      <c r="B454" s="268" t="s">
        <v>656</v>
      </c>
      <c r="C454" s="260" t="s">
        <v>222</v>
      </c>
      <c r="D454" s="321">
        <v>645.2</v>
      </c>
      <c r="I454" s="32"/>
    </row>
    <row r="455" spans="1:9" s="20" customFormat="1" ht="24">
      <c r="A455" s="264" t="s">
        <v>612</v>
      </c>
      <c r="B455" s="259" t="s">
        <v>611</v>
      </c>
      <c r="C455" s="260"/>
      <c r="D455" s="321">
        <f>D456</f>
        <v>59.7</v>
      </c>
      <c r="I455" s="32"/>
    </row>
    <row r="456" spans="1:9" s="20" customFormat="1" ht="12.75">
      <c r="A456" s="261" t="s">
        <v>220</v>
      </c>
      <c r="B456" s="259" t="s">
        <v>611</v>
      </c>
      <c r="C456" s="260" t="s">
        <v>206</v>
      </c>
      <c r="D456" s="321">
        <f>D457</f>
        <v>59.7</v>
      </c>
      <c r="I456" s="32"/>
    </row>
    <row r="457" spans="1:9" s="20" customFormat="1" ht="12.75">
      <c r="A457" s="262" t="s">
        <v>221</v>
      </c>
      <c r="B457" s="259" t="s">
        <v>611</v>
      </c>
      <c r="C457" s="260" t="s">
        <v>222</v>
      </c>
      <c r="D457" s="321">
        <v>59.7</v>
      </c>
      <c r="I457" s="32"/>
    </row>
    <row r="458" spans="1:9" s="20" customFormat="1" ht="36">
      <c r="A458" s="264" t="s">
        <v>694</v>
      </c>
      <c r="B458" s="259" t="s">
        <v>696</v>
      </c>
      <c r="C458" s="260"/>
      <c r="D458" s="321">
        <f>D459</f>
        <v>0</v>
      </c>
      <c r="I458" s="32"/>
    </row>
    <row r="459" spans="1:9" s="20" customFormat="1" ht="12.75">
      <c r="A459" s="261" t="s">
        <v>220</v>
      </c>
      <c r="B459" s="259" t="s">
        <v>696</v>
      </c>
      <c r="C459" s="260" t="s">
        <v>206</v>
      </c>
      <c r="D459" s="321">
        <f>D460</f>
        <v>0</v>
      </c>
      <c r="I459" s="32"/>
    </row>
    <row r="460" spans="1:9" s="20" customFormat="1" ht="12.75">
      <c r="A460" s="262" t="s">
        <v>221</v>
      </c>
      <c r="B460" s="259" t="s">
        <v>696</v>
      </c>
      <c r="C460" s="260" t="s">
        <v>222</v>
      </c>
      <c r="D460" s="321">
        <v>0</v>
      </c>
      <c r="I460" s="32"/>
    </row>
    <row r="461" spans="1:9" s="20" customFormat="1" ht="36">
      <c r="A461" s="264" t="s">
        <v>694</v>
      </c>
      <c r="B461" s="259" t="s">
        <v>700</v>
      </c>
      <c r="C461" s="260"/>
      <c r="D461" s="321">
        <f>D462</f>
        <v>1203.1000000000001</v>
      </c>
      <c r="I461" s="32"/>
    </row>
    <row r="462" spans="1:9" s="20" customFormat="1" ht="12.75">
      <c r="A462" s="261" t="s">
        <v>220</v>
      </c>
      <c r="B462" s="259" t="s">
        <v>700</v>
      </c>
      <c r="C462" s="260" t="s">
        <v>206</v>
      </c>
      <c r="D462" s="321">
        <f>D463</f>
        <v>1203.1000000000001</v>
      </c>
      <c r="I462" s="32"/>
    </row>
    <row r="463" spans="1:9" s="20" customFormat="1" ht="12.75">
      <c r="A463" s="262" t="s">
        <v>221</v>
      </c>
      <c r="B463" s="259" t="s">
        <v>700</v>
      </c>
      <c r="C463" s="260" t="s">
        <v>222</v>
      </c>
      <c r="D463" s="321">
        <f>700.4+418.5+84.2</f>
        <v>1203.1000000000001</v>
      </c>
      <c r="I463" s="32"/>
    </row>
    <row r="464" spans="1:9" s="20" customFormat="1" ht="36">
      <c r="A464" s="264" t="s">
        <v>295</v>
      </c>
      <c r="B464" s="259" t="s">
        <v>377</v>
      </c>
      <c r="C464" s="260"/>
      <c r="D464" s="321">
        <f>D465</f>
        <v>151</v>
      </c>
      <c r="I464" s="32"/>
    </row>
    <row r="465" spans="1:9" s="20" customFormat="1" ht="12.75">
      <c r="A465" s="261" t="s">
        <v>220</v>
      </c>
      <c r="B465" s="259" t="s">
        <v>377</v>
      </c>
      <c r="C465" s="260" t="s">
        <v>206</v>
      </c>
      <c r="D465" s="321">
        <f>D466</f>
        <v>151</v>
      </c>
      <c r="I465" s="32"/>
    </row>
    <row r="466" spans="1:9" s="20" customFormat="1" ht="12.75">
      <c r="A466" s="262" t="s">
        <v>221</v>
      </c>
      <c r="B466" s="259" t="s">
        <v>377</v>
      </c>
      <c r="C466" s="260" t="s">
        <v>222</v>
      </c>
      <c r="D466" s="321">
        <f>140+11</f>
        <v>151</v>
      </c>
      <c r="I466" s="32"/>
    </row>
    <row r="467" spans="1:9" s="20" customFormat="1" ht="12.75">
      <c r="A467" s="279" t="s">
        <v>438</v>
      </c>
      <c r="B467" s="248" t="s">
        <v>439</v>
      </c>
      <c r="C467" s="249"/>
      <c r="D467" s="50">
        <f>D468+D475+D478+D481</f>
        <v>1348.1</v>
      </c>
      <c r="I467" s="32"/>
    </row>
    <row r="468" spans="1:9" s="20" customFormat="1" ht="12.75">
      <c r="A468" s="168" t="s">
        <v>115</v>
      </c>
      <c r="B468" s="250" t="s">
        <v>464</v>
      </c>
      <c r="C468" s="251"/>
      <c r="D468" s="51">
        <f>D470+D472+D474</f>
        <v>375</v>
      </c>
      <c r="I468" s="32"/>
    </row>
    <row r="469" spans="1:9" s="20" customFormat="1" ht="24">
      <c r="A469" s="252" t="s">
        <v>139</v>
      </c>
      <c r="B469" s="250" t="s">
        <v>464</v>
      </c>
      <c r="C469" s="251" t="s">
        <v>228</v>
      </c>
      <c r="D469" s="51">
        <f>D470</f>
        <v>65</v>
      </c>
      <c r="E469" s="24"/>
      <c r="I469" s="32"/>
    </row>
    <row r="470" spans="1:9" s="20" customFormat="1" ht="12.75">
      <c r="A470" s="169" t="s">
        <v>223</v>
      </c>
      <c r="B470" s="250" t="s">
        <v>464</v>
      </c>
      <c r="C470" s="251" t="s">
        <v>224</v>
      </c>
      <c r="D470" s="51">
        <v>65</v>
      </c>
      <c r="I470" s="32"/>
    </row>
    <row r="471" spans="1:9" s="20" customFormat="1" ht="12.75">
      <c r="A471" s="252" t="s">
        <v>264</v>
      </c>
      <c r="B471" s="250" t="s">
        <v>464</v>
      </c>
      <c r="C471" s="251" t="s">
        <v>216</v>
      </c>
      <c r="D471" s="51">
        <f>D472</f>
        <v>60</v>
      </c>
      <c r="I471" s="32"/>
    </row>
    <row r="472" spans="1:9" s="20" customFormat="1" ht="15.75">
      <c r="A472" s="252" t="s">
        <v>217</v>
      </c>
      <c r="B472" s="250" t="s">
        <v>464</v>
      </c>
      <c r="C472" s="251" t="s">
        <v>215</v>
      </c>
      <c r="D472" s="51">
        <v>60</v>
      </c>
      <c r="E472" s="24"/>
      <c r="I472" s="32"/>
    </row>
    <row r="473" spans="1:9" s="20" customFormat="1" ht="12.75">
      <c r="A473" s="169" t="s">
        <v>220</v>
      </c>
      <c r="B473" s="250" t="s">
        <v>464</v>
      </c>
      <c r="C473" s="251" t="s">
        <v>206</v>
      </c>
      <c r="D473" s="51">
        <f>D474</f>
        <v>250</v>
      </c>
      <c r="I473" s="32"/>
    </row>
    <row r="474" spans="1:9" s="20" customFormat="1" ht="12.75">
      <c r="A474" s="170" t="s">
        <v>221</v>
      </c>
      <c r="B474" s="250" t="s">
        <v>464</v>
      </c>
      <c r="C474" s="251" t="s">
        <v>222</v>
      </c>
      <c r="D474" s="51">
        <f>40+140+70</f>
        <v>250</v>
      </c>
      <c r="I474" s="32"/>
    </row>
    <row r="475" spans="1:9" s="20" customFormat="1" ht="12.75">
      <c r="A475" s="168" t="s">
        <v>304</v>
      </c>
      <c r="B475" s="250" t="s">
        <v>465</v>
      </c>
      <c r="C475" s="251"/>
      <c r="D475" s="51">
        <f>D476</f>
        <v>149</v>
      </c>
      <c r="I475" s="32"/>
    </row>
    <row r="476" spans="1:9" s="20" customFormat="1" ht="12.75">
      <c r="A476" s="169" t="s">
        <v>220</v>
      </c>
      <c r="B476" s="250" t="s">
        <v>465</v>
      </c>
      <c r="C476" s="251" t="s">
        <v>206</v>
      </c>
      <c r="D476" s="51">
        <f>D477</f>
        <v>149</v>
      </c>
      <c r="I476" s="32"/>
    </row>
    <row r="477" spans="1:9" s="20" customFormat="1" ht="12.75">
      <c r="A477" s="170" t="s">
        <v>221</v>
      </c>
      <c r="B477" s="250" t="s">
        <v>465</v>
      </c>
      <c r="C477" s="251" t="s">
        <v>222</v>
      </c>
      <c r="D477" s="51">
        <f>49+50+50</f>
        <v>149</v>
      </c>
      <c r="I477" s="32"/>
    </row>
    <row r="478" spans="1:9" s="20" customFormat="1" ht="12.75">
      <c r="A478" s="170" t="s">
        <v>330</v>
      </c>
      <c r="B478" s="250" t="s">
        <v>466</v>
      </c>
      <c r="C478" s="251"/>
      <c r="D478" s="51">
        <f>D479</f>
        <v>188.8</v>
      </c>
      <c r="I478" s="32"/>
    </row>
    <row r="479" spans="1:9" s="20" customFormat="1" ht="15.75">
      <c r="A479" s="169" t="s">
        <v>220</v>
      </c>
      <c r="B479" s="250" t="s">
        <v>466</v>
      </c>
      <c r="C479" s="251" t="s">
        <v>206</v>
      </c>
      <c r="D479" s="51">
        <f>D480</f>
        <v>188.8</v>
      </c>
      <c r="E479" s="24"/>
      <c r="I479" s="32"/>
    </row>
    <row r="480" spans="1:9" s="20" customFormat="1" ht="15.75">
      <c r="A480" s="170" t="s">
        <v>221</v>
      </c>
      <c r="B480" s="250" t="s">
        <v>466</v>
      </c>
      <c r="C480" s="251" t="s">
        <v>222</v>
      </c>
      <c r="D480" s="51">
        <f>88.8+100</f>
        <v>188.8</v>
      </c>
      <c r="E480" s="24"/>
      <c r="I480" s="32"/>
    </row>
    <row r="481" spans="1:9" s="20" customFormat="1" ht="15.75">
      <c r="A481" s="299" t="s">
        <v>380</v>
      </c>
      <c r="B481" s="250" t="s">
        <v>487</v>
      </c>
      <c r="C481" s="251"/>
      <c r="D481" s="51">
        <f>D482</f>
        <v>635.3</v>
      </c>
      <c r="E481" s="24"/>
      <c r="I481" s="32"/>
    </row>
    <row r="482" spans="1:9" s="20" customFormat="1" ht="15.75">
      <c r="A482" s="169" t="s">
        <v>220</v>
      </c>
      <c r="B482" s="250" t="s">
        <v>487</v>
      </c>
      <c r="C482" s="251" t="s">
        <v>206</v>
      </c>
      <c r="D482" s="51">
        <f>D483</f>
        <v>635.3</v>
      </c>
      <c r="E482" s="24"/>
      <c r="I482" s="32"/>
    </row>
    <row r="483" spans="1:9" s="20" customFormat="1" ht="15.75">
      <c r="A483" s="170" t="s">
        <v>221</v>
      </c>
      <c r="B483" s="250" t="s">
        <v>487</v>
      </c>
      <c r="C483" s="251" t="s">
        <v>222</v>
      </c>
      <c r="D483" s="51">
        <f>350.3+285</f>
        <v>635.3</v>
      </c>
      <c r="E483" s="24"/>
      <c r="I483" s="32"/>
    </row>
    <row r="484" spans="1:9" s="20" customFormat="1" ht="15.75">
      <c r="A484" s="275" t="s">
        <v>19</v>
      </c>
      <c r="B484" s="248" t="s">
        <v>17</v>
      </c>
      <c r="C484" s="249"/>
      <c r="D484" s="50">
        <f>D485+D488</f>
        <v>14200.3</v>
      </c>
      <c r="E484" s="24"/>
      <c r="I484" s="32"/>
    </row>
    <row r="485" spans="1:9" s="20" customFormat="1" ht="36">
      <c r="A485" s="300" t="s">
        <v>271</v>
      </c>
      <c r="B485" s="250" t="s">
        <v>18</v>
      </c>
      <c r="C485" s="251"/>
      <c r="D485" s="51">
        <f>D486</f>
        <v>8026.7</v>
      </c>
      <c r="E485" s="24"/>
      <c r="I485" s="32"/>
    </row>
    <row r="486" spans="1:9" s="20" customFormat="1" ht="15.75">
      <c r="A486" s="252" t="s">
        <v>264</v>
      </c>
      <c r="B486" s="250" t="s">
        <v>18</v>
      </c>
      <c r="C486" s="251" t="s">
        <v>216</v>
      </c>
      <c r="D486" s="51">
        <f>D487</f>
        <v>8026.7</v>
      </c>
      <c r="E486" s="24"/>
      <c r="I486" s="32"/>
    </row>
    <row r="487" spans="1:9" s="20" customFormat="1" ht="15.75">
      <c r="A487" s="252" t="s">
        <v>217</v>
      </c>
      <c r="B487" s="250" t="s">
        <v>18</v>
      </c>
      <c r="C487" s="251" t="s">
        <v>215</v>
      </c>
      <c r="D487" s="51">
        <f>7505.7-57.3+578.3</f>
        <v>8026.7</v>
      </c>
      <c r="E487" s="24"/>
      <c r="I487" s="32"/>
    </row>
    <row r="488" spans="1:9" s="20" customFormat="1" ht="48">
      <c r="A488" s="253" t="s">
        <v>331</v>
      </c>
      <c r="B488" s="250" t="s">
        <v>399</v>
      </c>
      <c r="C488" s="251"/>
      <c r="D488" s="51">
        <f>D490+D492</f>
        <v>6173.6</v>
      </c>
      <c r="E488" s="24"/>
      <c r="I488" s="32"/>
    </row>
    <row r="489" spans="1:9" s="20" customFormat="1" ht="15.75">
      <c r="A489" s="252" t="s">
        <v>264</v>
      </c>
      <c r="B489" s="250" t="s">
        <v>399</v>
      </c>
      <c r="C489" s="251" t="s">
        <v>216</v>
      </c>
      <c r="D489" s="51">
        <f>D490</f>
        <v>1146.8</v>
      </c>
      <c r="E489" s="24"/>
      <c r="I489" s="32"/>
    </row>
    <row r="490" spans="1:9" s="20" customFormat="1" ht="15.75">
      <c r="A490" s="252" t="s">
        <v>217</v>
      </c>
      <c r="B490" s="250" t="s">
        <v>399</v>
      </c>
      <c r="C490" s="251" t="s">
        <v>215</v>
      </c>
      <c r="D490" s="51">
        <f>1089.5+57.3</f>
        <v>1146.8</v>
      </c>
      <c r="E490" s="24"/>
      <c r="I490" s="32"/>
    </row>
    <row r="491" spans="1:9" s="20" customFormat="1" ht="15.75">
      <c r="A491" s="253" t="s">
        <v>203</v>
      </c>
      <c r="B491" s="250" t="s">
        <v>399</v>
      </c>
      <c r="C491" s="251" t="s">
        <v>204</v>
      </c>
      <c r="D491" s="51">
        <f>D492</f>
        <v>5026.8</v>
      </c>
      <c r="E491" s="24"/>
      <c r="I491" s="32"/>
    </row>
    <row r="492" spans="1:9" s="20" customFormat="1" ht="15.75">
      <c r="A492" s="253" t="s">
        <v>219</v>
      </c>
      <c r="B492" s="250" t="s">
        <v>399</v>
      </c>
      <c r="C492" s="251" t="s">
        <v>218</v>
      </c>
      <c r="D492" s="51">
        <f>4775.5+251.3</f>
        <v>5026.8</v>
      </c>
      <c r="E492" s="24"/>
      <c r="I492" s="32"/>
    </row>
    <row r="493" spans="1:9" s="20" customFormat="1" ht="15.75">
      <c r="A493" s="275" t="s">
        <v>267</v>
      </c>
      <c r="B493" s="248" t="s">
        <v>20</v>
      </c>
      <c r="C493" s="249"/>
      <c r="D493" s="50">
        <f>D497+D494+D500</f>
        <v>1347</v>
      </c>
      <c r="E493" s="24"/>
      <c r="I493" s="32"/>
    </row>
    <row r="494" spans="1:9" s="20" customFormat="1" ht="15.75">
      <c r="A494" s="253" t="s">
        <v>490</v>
      </c>
      <c r="B494" s="250" t="s">
        <v>641</v>
      </c>
      <c r="C494" s="251"/>
      <c r="D494" s="51">
        <f>D495</f>
        <v>279.3</v>
      </c>
      <c r="E494" s="24"/>
      <c r="I494" s="32"/>
    </row>
    <row r="495" spans="1:9" s="20" customFormat="1" ht="15.75">
      <c r="A495" s="252" t="s">
        <v>264</v>
      </c>
      <c r="B495" s="250" t="s">
        <v>641</v>
      </c>
      <c r="C495" s="251" t="s">
        <v>216</v>
      </c>
      <c r="D495" s="51">
        <f>D496</f>
        <v>279.3</v>
      </c>
      <c r="E495" s="24"/>
      <c r="I495" s="32"/>
    </row>
    <row r="496" spans="1:9" s="20" customFormat="1" ht="12.75">
      <c r="A496" s="252" t="s">
        <v>217</v>
      </c>
      <c r="B496" s="250" t="s">
        <v>641</v>
      </c>
      <c r="C496" s="251" t="s">
        <v>215</v>
      </c>
      <c r="D496" s="51">
        <v>279.3</v>
      </c>
      <c r="I496" s="32"/>
    </row>
    <row r="497" spans="1:9" s="20" customFormat="1" ht="12.75">
      <c r="A497" s="253" t="s">
        <v>8</v>
      </c>
      <c r="B497" s="250" t="s">
        <v>476</v>
      </c>
      <c r="C497" s="251"/>
      <c r="D497" s="51">
        <f>D498</f>
        <v>267.7</v>
      </c>
      <c r="I497" s="32"/>
    </row>
    <row r="498" spans="1:9" s="20" customFormat="1" ht="12.75">
      <c r="A498" s="252" t="s">
        <v>264</v>
      </c>
      <c r="B498" s="250" t="s">
        <v>476</v>
      </c>
      <c r="C498" s="251" t="s">
        <v>216</v>
      </c>
      <c r="D498" s="51">
        <f>D499</f>
        <v>267.7</v>
      </c>
      <c r="I498" s="32"/>
    </row>
    <row r="499" spans="1:9" s="20" customFormat="1" ht="12.75">
      <c r="A499" s="252" t="s">
        <v>217</v>
      </c>
      <c r="B499" s="250" t="s">
        <v>476</v>
      </c>
      <c r="C499" s="251" t="s">
        <v>215</v>
      </c>
      <c r="D499" s="51">
        <f>200-100+167.7</f>
        <v>267.7</v>
      </c>
      <c r="I499" s="32"/>
    </row>
    <row r="500" spans="1:9" s="20" customFormat="1" ht="24">
      <c r="A500" s="253" t="s">
        <v>643</v>
      </c>
      <c r="B500" s="250" t="s">
        <v>642</v>
      </c>
      <c r="C500" s="251"/>
      <c r="D500" s="51">
        <f>D501</f>
        <v>800</v>
      </c>
      <c r="I500" s="32"/>
    </row>
    <row r="501" spans="1:9" s="20" customFormat="1" ht="12.75">
      <c r="A501" s="252" t="s">
        <v>264</v>
      </c>
      <c r="B501" s="250" t="s">
        <v>642</v>
      </c>
      <c r="C501" s="251" t="s">
        <v>216</v>
      </c>
      <c r="D501" s="51">
        <f>D502</f>
        <v>800</v>
      </c>
      <c r="I501" s="32"/>
    </row>
    <row r="502" spans="1:9" s="20" customFormat="1" ht="12.75">
      <c r="A502" s="252" t="s">
        <v>217</v>
      </c>
      <c r="B502" s="250" t="s">
        <v>642</v>
      </c>
      <c r="C502" s="251" t="s">
        <v>215</v>
      </c>
      <c r="D502" s="51">
        <f>750+50</f>
        <v>800</v>
      </c>
      <c r="I502" s="32"/>
    </row>
    <row r="503" spans="1:9" s="20" customFormat="1" ht="12.75">
      <c r="A503" s="247" t="s">
        <v>435</v>
      </c>
      <c r="B503" s="248" t="s">
        <v>93</v>
      </c>
      <c r="C503" s="249"/>
      <c r="D503" s="325">
        <f>D504</f>
        <v>679.2</v>
      </c>
      <c r="I503" s="32"/>
    </row>
    <row r="504" spans="1:9" s="20" customFormat="1" ht="12.75">
      <c r="A504" s="168" t="s">
        <v>128</v>
      </c>
      <c r="B504" s="254" t="s">
        <v>94</v>
      </c>
      <c r="C504" s="251"/>
      <c r="D504" s="323">
        <f>D505</f>
        <v>679.2</v>
      </c>
      <c r="I504" s="32"/>
    </row>
    <row r="505" spans="1:9" s="20" customFormat="1" ht="12.75">
      <c r="A505" s="261" t="s">
        <v>220</v>
      </c>
      <c r="B505" s="254" t="s">
        <v>94</v>
      </c>
      <c r="C505" s="251" t="s">
        <v>206</v>
      </c>
      <c r="D505" s="323">
        <f>D506+D507</f>
        <v>679.2</v>
      </c>
      <c r="I505" s="32"/>
    </row>
    <row r="506" spans="1:9" s="20" customFormat="1" ht="12.75">
      <c r="A506" s="262" t="s">
        <v>221</v>
      </c>
      <c r="B506" s="254" t="s">
        <v>94</v>
      </c>
      <c r="C506" s="251" t="s">
        <v>222</v>
      </c>
      <c r="D506" s="323">
        <f>415-1.8+241</f>
        <v>654.2</v>
      </c>
      <c r="I506" s="32"/>
    </row>
    <row r="507" spans="1:9" s="20" customFormat="1" ht="12.75">
      <c r="A507" s="170" t="s">
        <v>227</v>
      </c>
      <c r="B507" s="254" t="s">
        <v>94</v>
      </c>
      <c r="C507" s="251" t="s">
        <v>226</v>
      </c>
      <c r="D507" s="323">
        <v>25</v>
      </c>
      <c r="I507" s="32"/>
    </row>
    <row r="508" spans="1:9" s="20" customFormat="1" ht="12.75">
      <c r="A508" s="275" t="s">
        <v>511</v>
      </c>
      <c r="B508" s="248" t="s">
        <v>58</v>
      </c>
      <c r="C508" s="249"/>
      <c r="D508" s="50">
        <f>D509+D518+D529</f>
        <v>3285.1</v>
      </c>
      <c r="E508" s="20">
        <v>45336.8</v>
      </c>
      <c r="F508" s="20" t="e">
        <f>E510+E515+E520+#REF!+#REF!+E529+E532+E535</f>
        <v>#REF!</v>
      </c>
      <c r="G508" s="20" t="e">
        <f>F508-E508</f>
        <v>#REF!</v>
      </c>
      <c r="I508" s="32"/>
    </row>
    <row r="509" spans="1:9" s="20" customFormat="1" ht="12.75">
      <c r="A509" s="270" t="s">
        <v>512</v>
      </c>
      <c r="B509" s="271" t="s">
        <v>257</v>
      </c>
      <c r="C509" s="272"/>
      <c r="D509" s="50">
        <f>D510+D515</f>
        <v>1989.3</v>
      </c>
      <c r="I509" s="32"/>
    </row>
    <row r="510" spans="1:9" s="20" customFormat="1" ht="12.75">
      <c r="A510" s="253" t="s">
        <v>117</v>
      </c>
      <c r="B510" s="250" t="s">
        <v>334</v>
      </c>
      <c r="C510" s="251"/>
      <c r="D510" s="51">
        <f>D511+D513</f>
        <v>54.7</v>
      </c>
      <c r="E510" s="25"/>
      <c r="I510" s="32"/>
    </row>
    <row r="511" spans="1:9" s="20" customFormat="1" ht="24">
      <c r="A511" s="252" t="s">
        <v>139</v>
      </c>
      <c r="B511" s="250" t="s">
        <v>334</v>
      </c>
      <c r="C511" s="251" t="s">
        <v>228</v>
      </c>
      <c r="D511" s="51">
        <f>D512</f>
        <v>13.2</v>
      </c>
      <c r="E511" s="25"/>
      <c r="I511" s="32"/>
    </row>
    <row r="512" spans="1:9" s="20" customFormat="1" ht="12.75">
      <c r="A512" s="169" t="s">
        <v>223</v>
      </c>
      <c r="B512" s="250" t="s">
        <v>334</v>
      </c>
      <c r="C512" s="251" t="s">
        <v>224</v>
      </c>
      <c r="D512" s="51">
        <v>13.2</v>
      </c>
      <c r="E512" s="25"/>
      <c r="I512" s="32"/>
    </row>
    <row r="513" spans="1:9" s="20" customFormat="1" ht="12.75">
      <c r="A513" s="252" t="s">
        <v>264</v>
      </c>
      <c r="B513" s="250" t="s">
        <v>334</v>
      </c>
      <c r="C513" s="251" t="s">
        <v>216</v>
      </c>
      <c r="D513" s="51">
        <f>D514</f>
        <v>41.5</v>
      </c>
      <c r="E513" s="25"/>
      <c r="I513" s="32"/>
    </row>
    <row r="514" spans="1:9" s="20" customFormat="1" ht="12.75">
      <c r="A514" s="252" t="s">
        <v>217</v>
      </c>
      <c r="B514" s="250" t="s">
        <v>334</v>
      </c>
      <c r="C514" s="251" t="s">
        <v>215</v>
      </c>
      <c r="D514" s="51">
        <v>41.5</v>
      </c>
      <c r="E514" s="25"/>
      <c r="I514" s="32"/>
    </row>
    <row r="515" spans="1:9" s="20" customFormat="1" ht="12.75">
      <c r="A515" s="265" t="s">
        <v>385</v>
      </c>
      <c r="B515" s="250" t="s">
        <v>335</v>
      </c>
      <c r="C515" s="251"/>
      <c r="D515" s="51">
        <f>SUM(D516)</f>
        <v>1934.6</v>
      </c>
      <c r="E515" s="25"/>
      <c r="I515" s="32"/>
    </row>
    <row r="516" spans="1:9" s="20" customFormat="1" ht="12.75">
      <c r="A516" s="253" t="s">
        <v>203</v>
      </c>
      <c r="B516" s="250" t="s">
        <v>335</v>
      </c>
      <c r="C516" s="251" t="s">
        <v>204</v>
      </c>
      <c r="D516" s="51">
        <f>D517</f>
        <v>1934.6</v>
      </c>
      <c r="E516" s="25"/>
      <c r="I516" s="32"/>
    </row>
    <row r="517" spans="1:9" s="20" customFormat="1" ht="12.75">
      <c r="A517" s="253" t="s">
        <v>234</v>
      </c>
      <c r="B517" s="250" t="s">
        <v>335</v>
      </c>
      <c r="C517" s="251" t="s">
        <v>233</v>
      </c>
      <c r="D517" s="51">
        <v>1934.6</v>
      </c>
      <c r="E517" s="25"/>
      <c r="I517" s="32"/>
    </row>
    <row r="518" spans="1:9" s="20" customFormat="1" ht="24">
      <c r="A518" s="278" t="s">
        <v>513</v>
      </c>
      <c r="B518" s="271" t="s">
        <v>72</v>
      </c>
      <c r="C518" s="272"/>
      <c r="D518" s="50">
        <f>D519+D526</f>
        <v>1215.8</v>
      </c>
      <c r="E518" s="25"/>
      <c r="I518" s="32"/>
    </row>
    <row r="519" spans="1:9" s="20" customFormat="1" ht="12.75">
      <c r="A519" s="253" t="s">
        <v>112</v>
      </c>
      <c r="B519" s="250" t="s">
        <v>337</v>
      </c>
      <c r="C519" s="251"/>
      <c r="D519" s="51">
        <f>D520+D524+D522</f>
        <v>380</v>
      </c>
      <c r="E519" s="25"/>
      <c r="I519" s="32"/>
    </row>
    <row r="520" spans="1:9" s="20" customFormat="1" ht="24">
      <c r="A520" s="252" t="s">
        <v>139</v>
      </c>
      <c r="B520" s="250" t="s">
        <v>337</v>
      </c>
      <c r="C520" s="251" t="s">
        <v>228</v>
      </c>
      <c r="D520" s="51">
        <f>D521</f>
        <v>35.1</v>
      </c>
      <c r="E520" s="25"/>
      <c r="I520" s="32"/>
    </row>
    <row r="521" spans="1:9" s="20" customFormat="1" ht="12.75">
      <c r="A521" s="169" t="s">
        <v>223</v>
      </c>
      <c r="B521" s="250" t="s">
        <v>337</v>
      </c>
      <c r="C521" s="251" t="s">
        <v>224</v>
      </c>
      <c r="D521" s="51">
        <v>35.1</v>
      </c>
      <c r="E521" s="25"/>
      <c r="I521" s="32"/>
    </row>
    <row r="522" spans="1:9" s="20" customFormat="1" ht="12.75">
      <c r="A522" s="252" t="s">
        <v>264</v>
      </c>
      <c r="B522" s="250" t="s">
        <v>337</v>
      </c>
      <c r="C522" s="251" t="s">
        <v>216</v>
      </c>
      <c r="D522" s="51">
        <f>D523</f>
        <v>324.9</v>
      </c>
      <c r="E522" s="25"/>
      <c r="I522" s="32"/>
    </row>
    <row r="523" spans="1:9" s="20" customFormat="1" ht="12.75">
      <c r="A523" s="252" t="s">
        <v>217</v>
      </c>
      <c r="B523" s="250" t="s">
        <v>337</v>
      </c>
      <c r="C523" s="251" t="s">
        <v>215</v>
      </c>
      <c r="D523" s="51">
        <v>324.9</v>
      </c>
      <c r="E523" s="25"/>
      <c r="I523" s="32"/>
    </row>
    <row r="524" spans="1:9" s="20" customFormat="1" ht="12.75">
      <c r="A524" s="301" t="s">
        <v>317</v>
      </c>
      <c r="B524" s="250" t="s">
        <v>337</v>
      </c>
      <c r="C524" s="251" t="s">
        <v>206</v>
      </c>
      <c r="D524" s="51">
        <f>D525</f>
        <v>20</v>
      </c>
      <c r="E524" s="25"/>
      <c r="I524" s="32"/>
    </row>
    <row r="525" spans="1:9" s="20" customFormat="1" ht="24">
      <c r="A525" s="170" t="s">
        <v>518</v>
      </c>
      <c r="B525" s="250" t="s">
        <v>337</v>
      </c>
      <c r="C525" s="251" t="s">
        <v>236</v>
      </c>
      <c r="D525" s="51">
        <v>20</v>
      </c>
      <c r="E525" s="25"/>
      <c r="I525" s="32"/>
    </row>
    <row r="526" spans="1:9" s="20" customFormat="1" ht="12.75">
      <c r="A526" s="88" t="s">
        <v>386</v>
      </c>
      <c r="B526" s="259" t="s">
        <v>338</v>
      </c>
      <c r="C526" s="251"/>
      <c r="D526" s="51">
        <f>D527</f>
        <v>835.8</v>
      </c>
      <c r="E526" s="25"/>
      <c r="I526" s="32"/>
    </row>
    <row r="527" spans="1:9" s="20" customFormat="1" ht="12.75">
      <c r="A527" s="301" t="s">
        <v>317</v>
      </c>
      <c r="B527" s="259" t="s">
        <v>338</v>
      </c>
      <c r="C527" s="251" t="s">
        <v>206</v>
      </c>
      <c r="D527" s="51">
        <f>D528</f>
        <v>835.8</v>
      </c>
      <c r="E527" s="25"/>
      <c r="I527" s="32"/>
    </row>
    <row r="528" spans="1:9" s="20" customFormat="1" ht="24">
      <c r="A528" s="170" t="s">
        <v>518</v>
      </c>
      <c r="B528" s="259" t="s">
        <v>338</v>
      </c>
      <c r="C528" s="251" t="s">
        <v>236</v>
      </c>
      <c r="D528" s="51">
        <v>835.8</v>
      </c>
      <c r="E528" s="25"/>
      <c r="I528" s="32"/>
    </row>
    <row r="529" spans="1:9" s="20" customFormat="1" ht="12.75">
      <c r="A529" s="278" t="s">
        <v>555</v>
      </c>
      <c r="B529" s="271" t="s">
        <v>556</v>
      </c>
      <c r="C529" s="272"/>
      <c r="D529" s="50">
        <f>D530</f>
        <v>80</v>
      </c>
      <c r="E529" s="25"/>
      <c r="I529" s="32"/>
    </row>
    <row r="530" spans="1:9" s="20" customFormat="1" ht="12.75">
      <c r="A530" s="253" t="s">
        <v>112</v>
      </c>
      <c r="B530" s="250" t="s">
        <v>557</v>
      </c>
      <c r="C530" s="251"/>
      <c r="D530" s="51">
        <f>D531+D533</f>
        <v>80</v>
      </c>
      <c r="E530" s="25"/>
      <c r="I530" s="32"/>
    </row>
    <row r="531" spans="1:9" s="20" customFormat="1" ht="24">
      <c r="A531" s="252" t="s">
        <v>139</v>
      </c>
      <c r="B531" s="250" t="s">
        <v>557</v>
      </c>
      <c r="C531" s="251" t="s">
        <v>228</v>
      </c>
      <c r="D531" s="51">
        <f>D532</f>
        <v>60</v>
      </c>
      <c r="E531" s="25"/>
      <c r="I531" s="32"/>
    </row>
    <row r="532" spans="1:9" s="20" customFormat="1" ht="12.75">
      <c r="A532" s="169" t="s">
        <v>223</v>
      </c>
      <c r="B532" s="250" t="s">
        <v>557</v>
      </c>
      <c r="C532" s="251" t="s">
        <v>224</v>
      </c>
      <c r="D532" s="51">
        <v>60</v>
      </c>
      <c r="E532" s="25"/>
      <c r="I532" s="32"/>
    </row>
    <row r="533" spans="1:9" s="20" customFormat="1" ht="12.75">
      <c r="A533" s="252" t="s">
        <v>264</v>
      </c>
      <c r="B533" s="250" t="s">
        <v>557</v>
      </c>
      <c r="C533" s="251" t="s">
        <v>216</v>
      </c>
      <c r="D533" s="51">
        <f>D534</f>
        <v>20</v>
      </c>
      <c r="E533" s="25"/>
      <c r="I533" s="32"/>
    </row>
    <row r="534" spans="1:9" s="20" customFormat="1" ht="12.75">
      <c r="A534" s="252" t="s">
        <v>217</v>
      </c>
      <c r="B534" s="250" t="s">
        <v>557</v>
      </c>
      <c r="C534" s="251" t="s">
        <v>215</v>
      </c>
      <c r="D534" s="51">
        <v>20</v>
      </c>
      <c r="E534" s="25"/>
      <c r="I534" s="32"/>
    </row>
    <row r="535" spans="1:9" s="20" customFormat="1" ht="12.75">
      <c r="A535" s="247" t="s">
        <v>300</v>
      </c>
      <c r="B535" s="248" t="s">
        <v>21</v>
      </c>
      <c r="C535" s="249"/>
      <c r="D535" s="50">
        <f>D536+D542+D539</f>
        <v>2509.3</v>
      </c>
      <c r="E535" s="25"/>
      <c r="I535" s="32"/>
    </row>
    <row r="536" spans="1:9" s="20" customFormat="1" ht="12.75">
      <c r="A536" s="273" t="s">
        <v>288</v>
      </c>
      <c r="B536" s="250" t="s">
        <v>554</v>
      </c>
      <c r="C536" s="251"/>
      <c r="D536" s="51">
        <f>D537</f>
        <v>70</v>
      </c>
      <c r="E536" s="25"/>
      <c r="I536" s="32"/>
    </row>
    <row r="537" spans="1:9" s="20" customFormat="1" ht="12.75">
      <c r="A537" s="252" t="s">
        <v>264</v>
      </c>
      <c r="B537" s="250" t="s">
        <v>554</v>
      </c>
      <c r="C537" s="251" t="s">
        <v>216</v>
      </c>
      <c r="D537" s="51">
        <f>D538</f>
        <v>70</v>
      </c>
      <c r="I537" s="32"/>
    </row>
    <row r="538" spans="1:9" s="20" customFormat="1" ht="12.75">
      <c r="A538" s="252" t="s">
        <v>217</v>
      </c>
      <c r="B538" s="250" t="s">
        <v>554</v>
      </c>
      <c r="C538" s="251" t="s">
        <v>215</v>
      </c>
      <c r="D538" s="51">
        <v>70</v>
      </c>
      <c r="I538" s="32"/>
    </row>
    <row r="539" spans="1:9" s="20" customFormat="1" ht="24">
      <c r="A539" s="273" t="s">
        <v>588</v>
      </c>
      <c r="B539" s="250" t="s">
        <v>587</v>
      </c>
      <c r="C539" s="251"/>
      <c r="D539" s="51">
        <f>D540</f>
        <v>2399.3</v>
      </c>
      <c r="I539" s="32"/>
    </row>
    <row r="540" spans="1:9" s="20" customFormat="1" ht="12.75">
      <c r="A540" s="252" t="s">
        <v>264</v>
      </c>
      <c r="B540" s="250" t="s">
        <v>587</v>
      </c>
      <c r="C540" s="251" t="s">
        <v>216</v>
      </c>
      <c r="D540" s="51">
        <f>D541</f>
        <v>2399.3</v>
      </c>
      <c r="I540" s="32"/>
    </row>
    <row r="541" spans="1:9" s="20" customFormat="1" ht="12.75">
      <c r="A541" s="252" t="s">
        <v>217</v>
      </c>
      <c r="B541" s="250" t="s">
        <v>587</v>
      </c>
      <c r="C541" s="251" t="s">
        <v>215</v>
      </c>
      <c r="D541" s="51">
        <f>3774.3-1375</f>
        <v>2399.3</v>
      </c>
      <c r="I541" s="32"/>
    </row>
    <row r="542" spans="1:4" s="32" customFormat="1" ht="24">
      <c r="A542" s="273" t="s">
        <v>553</v>
      </c>
      <c r="B542" s="250" t="s">
        <v>552</v>
      </c>
      <c r="C542" s="251"/>
      <c r="D542" s="51">
        <f>D543</f>
        <v>40</v>
      </c>
    </row>
    <row r="543" spans="1:5" s="32" customFormat="1" ht="12.75">
      <c r="A543" s="252" t="s">
        <v>264</v>
      </c>
      <c r="B543" s="250" t="s">
        <v>552</v>
      </c>
      <c r="C543" s="251" t="s">
        <v>216</v>
      </c>
      <c r="D543" s="51">
        <f>D544</f>
        <v>40</v>
      </c>
      <c r="E543" s="52"/>
    </row>
    <row r="544" spans="1:9" s="20" customFormat="1" ht="12.75">
      <c r="A544" s="252" t="s">
        <v>217</v>
      </c>
      <c r="B544" s="250" t="s">
        <v>552</v>
      </c>
      <c r="C544" s="251" t="s">
        <v>215</v>
      </c>
      <c r="D544" s="51">
        <v>40</v>
      </c>
      <c r="I544" s="32"/>
    </row>
    <row r="545" spans="1:9" s="20" customFormat="1" ht="12.75">
      <c r="A545" s="247" t="s">
        <v>488</v>
      </c>
      <c r="B545" s="248" t="s">
        <v>468</v>
      </c>
      <c r="C545" s="249"/>
      <c r="D545" s="50">
        <f>D546</f>
        <v>56</v>
      </c>
      <c r="I545" s="32"/>
    </row>
    <row r="546" spans="1:9" s="20" customFormat="1" ht="12.75">
      <c r="A546" s="253" t="s">
        <v>111</v>
      </c>
      <c r="B546" s="250" t="s">
        <v>469</v>
      </c>
      <c r="C546" s="251"/>
      <c r="D546" s="51">
        <f>D547</f>
        <v>56</v>
      </c>
      <c r="I546" s="32"/>
    </row>
    <row r="547" spans="1:9" s="20" customFormat="1" ht="12.75">
      <c r="A547" s="252" t="s">
        <v>264</v>
      </c>
      <c r="B547" s="250" t="s">
        <v>469</v>
      </c>
      <c r="C547" s="251" t="s">
        <v>216</v>
      </c>
      <c r="D547" s="51">
        <f>D548</f>
        <v>56</v>
      </c>
      <c r="I547" s="32"/>
    </row>
    <row r="548" spans="1:9" s="20" customFormat="1" ht="12.75">
      <c r="A548" s="252" t="s">
        <v>217</v>
      </c>
      <c r="B548" s="250" t="s">
        <v>469</v>
      </c>
      <c r="C548" s="251" t="s">
        <v>215</v>
      </c>
      <c r="D548" s="51">
        <v>56</v>
      </c>
      <c r="I548" s="32"/>
    </row>
    <row r="549" spans="1:9" s="20" customFormat="1" ht="12.75">
      <c r="A549" s="285" t="s">
        <v>408</v>
      </c>
      <c r="B549" s="248" t="s">
        <v>22</v>
      </c>
      <c r="C549" s="302"/>
      <c r="D549" s="320">
        <f>D550+D555+D564+D567+D572+D561+D575+D578+D581</f>
        <v>26093.899999999998</v>
      </c>
      <c r="E549" s="25"/>
      <c r="I549" s="32"/>
    </row>
    <row r="550" spans="1:9" s="20" customFormat="1" ht="12.75">
      <c r="A550" s="253" t="s">
        <v>138</v>
      </c>
      <c r="B550" s="250" t="s">
        <v>79</v>
      </c>
      <c r="C550" s="303"/>
      <c r="D550" s="320">
        <f>D551+D553</f>
        <v>10907.8</v>
      </c>
      <c r="I550" s="32"/>
    </row>
    <row r="551" spans="1:9" s="20" customFormat="1" ht="24">
      <c r="A551" s="252" t="s">
        <v>139</v>
      </c>
      <c r="B551" s="250" t="s">
        <v>79</v>
      </c>
      <c r="C551" s="251" t="s">
        <v>228</v>
      </c>
      <c r="D551" s="321">
        <f>D552</f>
        <v>10183.8</v>
      </c>
      <c r="I551" s="32"/>
    </row>
    <row r="552" spans="1:9" s="20" customFormat="1" ht="12.75">
      <c r="A552" s="169" t="s">
        <v>223</v>
      </c>
      <c r="B552" s="250" t="s">
        <v>79</v>
      </c>
      <c r="C552" s="251" t="s">
        <v>224</v>
      </c>
      <c r="D552" s="323">
        <v>10183.8</v>
      </c>
      <c r="I552" s="32"/>
    </row>
    <row r="553" spans="1:9" s="20" customFormat="1" ht="12.75">
      <c r="A553" s="252" t="s">
        <v>264</v>
      </c>
      <c r="B553" s="250" t="s">
        <v>79</v>
      </c>
      <c r="C553" s="251" t="s">
        <v>216</v>
      </c>
      <c r="D553" s="51">
        <f>D554</f>
        <v>724</v>
      </c>
      <c r="I553" s="32"/>
    </row>
    <row r="554" spans="1:9" s="20" customFormat="1" ht="12.75">
      <c r="A554" s="252" t="s">
        <v>217</v>
      </c>
      <c r="B554" s="250" t="s">
        <v>79</v>
      </c>
      <c r="C554" s="251" t="s">
        <v>215</v>
      </c>
      <c r="D554" s="51">
        <v>724</v>
      </c>
      <c r="I554" s="32"/>
    </row>
    <row r="555" spans="1:9" s="20" customFormat="1" ht="12.75">
      <c r="A555" s="253" t="s">
        <v>109</v>
      </c>
      <c r="B555" s="250" t="s">
        <v>256</v>
      </c>
      <c r="C555" s="303"/>
      <c r="D555" s="321">
        <f>D556+D558</f>
        <v>2419.1</v>
      </c>
      <c r="I555" s="32"/>
    </row>
    <row r="556" spans="1:9" s="20" customFormat="1" ht="12.75">
      <c r="A556" s="252" t="s">
        <v>264</v>
      </c>
      <c r="B556" s="250" t="s">
        <v>256</v>
      </c>
      <c r="C556" s="251" t="s">
        <v>216</v>
      </c>
      <c r="D556" s="51">
        <f>D557</f>
        <v>2399.7</v>
      </c>
      <c r="I556" s="32"/>
    </row>
    <row r="557" spans="1:9" s="20" customFormat="1" ht="12.75">
      <c r="A557" s="252" t="s">
        <v>217</v>
      </c>
      <c r="B557" s="250" t="s">
        <v>256</v>
      </c>
      <c r="C557" s="251" t="s">
        <v>215</v>
      </c>
      <c r="D557" s="51">
        <f>1239.7+1000-40+100+100</f>
        <v>2399.7</v>
      </c>
      <c r="I557" s="32"/>
    </row>
    <row r="558" spans="1:9" s="20" customFormat="1" ht="12.75">
      <c r="A558" s="252" t="s">
        <v>107</v>
      </c>
      <c r="B558" s="250" t="s">
        <v>256</v>
      </c>
      <c r="C558" s="251" t="s">
        <v>100</v>
      </c>
      <c r="D558" s="51">
        <f>D560+D559</f>
        <v>19.4</v>
      </c>
      <c r="I558" s="32"/>
    </row>
    <row r="559" spans="1:9" s="20" customFormat="1" ht="12.75">
      <c r="A559" s="252" t="s">
        <v>351</v>
      </c>
      <c r="B559" s="250" t="s">
        <v>256</v>
      </c>
      <c r="C559" s="251" t="s">
        <v>607</v>
      </c>
      <c r="D559" s="51">
        <v>7.7</v>
      </c>
      <c r="I559" s="32"/>
    </row>
    <row r="560" spans="1:9" s="20" customFormat="1" ht="12.75">
      <c r="A560" s="252" t="s">
        <v>242</v>
      </c>
      <c r="B560" s="250" t="s">
        <v>256</v>
      </c>
      <c r="C560" s="251" t="s">
        <v>243</v>
      </c>
      <c r="D560" s="51">
        <v>11.7</v>
      </c>
      <c r="I560" s="32"/>
    </row>
    <row r="561" spans="1:9" s="20" customFormat="1" ht="12.75">
      <c r="A561" s="253" t="s">
        <v>288</v>
      </c>
      <c r="B561" s="250" t="s">
        <v>313</v>
      </c>
      <c r="C561" s="251"/>
      <c r="D561" s="51">
        <f>D562</f>
        <v>570</v>
      </c>
      <c r="I561" s="32"/>
    </row>
    <row r="562" spans="1:9" s="20" customFormat="1" ht="12.75">
      <c r="A562" s="252" t="s">
        <v>264</v>
      </c>
      <c r="B562" s="250" t="s">
        <v>313</v>
      </c>
      <c r="C562" s="251" t="s">
        <v>216</v>
      </c>
      <c r="D562" s="51">
        <f>D563</f>
        <v>570</v>
      </c>
      <c r="I562" s="32"/>
    </row>
    <row r="563" spans="1:9" s="20" customFormat="1" ht="12.75">
      <c r="A563" s="252" t="s">
        <v>217</v>
      </c>
      <c r="B563" s="250" t="s">
        <v>313</v>
      </c>
      <c r="C563" s="251" t="s">
        <v>215</v>
      </c>
      <c r="D563" s="51">
        <f>390+180</f>
        <v>570</v>
      </c>
      <c r="I563" s="32"/>
    </row>
    <row r="564" spans="1:9" s="20" customFormat="1" ht="12.75">
      <c r="A564" s="253" t="s">
        <v>131</v>
      </c>
      <c r="B564" s="304" t="s">
        <v>23</v>
      </c>
      <c r="C564" s="303"/>
      <c r="D564" s="321">
        <f>D565</f>
        <v>192</v>
      </c>
      <c r="I564" s="32"/>
    </row>
    <row r="565" spans="1:9" s="20" customFormat="1" ht="12.75">
      <c r="A565" s="252" t="s">
        <v>264</v>
      </c>
      <c r="B565" s="250" t="s">
        <v>23</v>
      </c>
      <c r="C565" s="251" t="s">
        <v>216</v>
      </c>
      <c r="D565" s="51">
        <f>D566</f>
        <v>192</v>
      </c>
      <c r="I565" s="32"/>
    </row>
    <row r="566" spans="1:9" s="20" customFormat="1" ht="12.75">
      <c r="A566" s="252" t="s">
        <v>217</v>
      </c>
      <c r="B566" s="250" t="s">
        <v>23</v>
      </c>
      <c r="C566" s="251" t="s">
        <v>215</v>
      </c>
      <c r="D566" s="51">
        <f>230-38</f>
        <v>192</v>
      </c>
      <c r="I566" s="32"/>
    </row>
    <row r="567" spans="1:9" s="20" customFormat="1" ht="12.75">
      <c r="A567" s="253" t="s">
        <v>132</v>
      </c>
      <c r="B567" s="259" t="s">
        <v>24</v>
      </c>
      <c r="C567" s="251"/>
      <c r="D567" s="51">
        <f>D568+D570</f>
        <v>868</v>
      </c>
      <c r="I567" s="32"/>
    </row>
    <row r="568" spans="1:9" s="20" customFormat="1" ht="12.75">
      <c r="A568" s="252" t="s">
        <v>264</v>
      </c>
      <c r="B568" s="259" t="s">
        <v>24</v>
      </c>
      <c r="C568" s="251" t="s">
        <v>216</v>
      </c>
      <c r="D568" s="51">
        <f>D569</f>
        <v>844.9</v>
      </c>
      <c r="I568" s="32"/>
    </row>
    <row r="569" spans="1:9" s="20" customFormat="1" ht="12.75">
      <c r="A569" s="252" t="s">
        <v>217</v>
      </c>
      <c r="B569" s="259" t="s">
        <v>24</v>
      </c>
      <c r="C569" s="251" t="s">
        <v>215</v>
      </c>
      <c r="D569" s="51">
        <v>844.9</v>
      </c>
      <c r="I569" s="32"/>
    </row>
    <row r="570" spans="1:9" s="20" customFormat="1" ht="12.75">
      <c r="A570" s="252" t="s">
        <v>107</v>
      </c>
      <c r="B570" s="259" t="s">
        <v>24</v>
      </c>
      <c r="C570" s="251" t="s">
        <v>100</v>
      </c>
      <c r="D570" s="51">
        <f>D571</f>
        <v>23.1</v>
      </c>
      <c r="I570" s="32"/>
    </row>
    <row r="571" spans="1:9" s="20" customFormat="1" ht="12.75">
      <c r="A571" s="252" t="s">
        <v>351</v>
      </c>
      <c r="B571" s="259" t="s">
        <v>24</v>
      </c>
      <c r="C571" s="251" t="s">
        <v>607</v>
      </c>
      <c r="D571" s="51">
        <v>23.1</v>
      </c>
      <c r="I571" s="32"/>
    </row>
    <row r="572" spans="1:9" s="20" customFormat="1" ht="12.75">
      <c r="A572" s="170" t="s">
        <v>3</v>
      </c>
      <c r="B572" s="250" t="s">
        <v>10</v>
      </c>
      <c r="C572" s="251"/>
      <c r="D572" s="51">
        <f>D573</f>
        <v>1558.2</v>
      </c>
      <c r="I572" s="32"/>
    </row>
    <row r="573" spans="1:4" s="36" customFormat="1" ht="12.75">
      <c r="A573" s="252" t="s">
        <v>264</v>
      </c>
      <c r="B573" s="250" t="s">
        <v>10</v>
      </c>
      <c r="C573" s="251" t="s">
        <v>216</v>
      </c>
      <c r="D573" s="51">
        <f>D574</f>
        <v>1558.2</v>
      </c>
    </row>
    <row r="574" spans="1:4" s="36" customFormat="1" ht="12.75">
      <c r="A574" s="252" t="s">
        <v>217</v>
      </c>
      <c r="B574" s="250" t="s">
        <v>10</v>
      </c>
      <c r="C574" s="251" t="s">
        <v>215</v>
      </c>
      <c r="D574" s="51">
        <v>1558.2</v>
      </c>
    </row>
    <row r="575" spans="1:9" s="20" customFormat="1" ht="24">
      <c r="A575" s="170" t="s">
        <v>528</v>
      </c>
      <c r="B575" s="250" t="s">
        <v>527</v>
      </c>
      <c r="C575" s="251"/>
      <c r="D575" s="51">
        <f>D576</f>
        <v>4894.6</v>
      </c>
      <c r="I575" s="32"/>
    </row>
    <row r="576" spans="1:4" s="36" customFormat="1" ht="12.75">
      <c r="A576" s="169" t="s">
        <v>265</v>
      </c>
      <c r="B576" s="250" t="s">
        <v>527</v>
      </c>
      <c r="C576" s="251" t="s">
        <v>229</v>
      </c>
      <c r="D576" s="51">
        <f>D577</f>
        <v>4894.6</v>
      </c>
    </row>
    <row r="577" spans="1:4" s="36" customFormat="1" ht="12.75">
      <c r="A577" s="284" t="s">
        <v>207</v>
      </c>
      <c r="B577" s="250" t="s">
        <v>527</v>
      </c>
      <c r="C577" s="251" t="s">
        <v>230</v>
      </c>
      <c r="D577" s="51">
        <f>4511.3+383.3</f>
        <v>4894.6</v>
      </c>
    </row>
    <row r="578" spans="1:6" s="36" customFormat="1" ht="24">
      <c r="A578" s="170" t="s">
        <v>529</v>
      </c>
      <c r="B578" s="250" t="s">
        <v>530</v>
      </c>
      <c r="C578" s="251"/>
      <c r="D578" s="51">
        <f>D579</f>
        <v>2328.2</v>
      </c>
      <c r="E578" s="41"/>
      <c r="F578" s="42"/>
    </row>
    <row r="579" spans="1:4" s="36" customFormat="1" ht="12.75">
      <c r="A579" s="169" t="s">
        <v>265</v>
      </c>
      <c r="B579" s="250" t="s">
        <v>530</v>
      </c>
      <c r="C579" s="251" t="s">
        <v>229</v>
      </c>
      <c r="D579" s="51">
        <f>D580</f>
        <v>2328.2</v>
      </c>
    </row>
    <row r="580" spans="1:9" s="23" customFormat="1" ht="12.75">
      <c r="A580" s="284" t="s">
        <v>207</v>
      </c>
      <c r="B580" s="250" t="s">
        <v>530</v>
      </c>
      <c r="C580" s="251" t="s">
        <v>230</v>
      </c>
      <c r="D580" s="51">
        <v>2328.2</v>
      </c>
      <c r="I580" s="36"/>
    </row>
    <row r="581" spans="1:9" s="23" customFormat="1" ht="12.75">
      <c r="A581" s="170" t="s">
        <v>551</v>
      </c>
      <c r="B581" s="250" t="s">
        <v>550</v>
      </c>
      <c r="C581" s="251"/>
      <c r="D581" s="51">
        <f>D582</f>
        <v>2356</v>
      </c>
      <c r="I581" s="36"/>
    </row>
    <row r="582" spans="1:9" s="23" customFormat="1" ht="12.75">
      <c r="A582" s="252" t="s">
        <v>264</v>
      </c>
      <c r="B582" s="250" t="s">
        <v>550</v>
      </c>
      <c r="C582" s="251" t="s">
        <v>216</v>
      </c>
      <c r="D582" s="51">
        <f>D583</f>
        <v>2356</v>
      </c>
      <c r="I582" s="36"/>
    </row>
    <row r="583" spans="1:9" s="23" customFormat="1" ht="12.75">
      <c r="A583" s="252" t="s">
        <v>217</v>
      </c>
      <c r="B583" s="250" t="s">
        <v>550</v>
      </c>
      <c r="C583" s="251" t="s">
        <v>215</v>
      </c>
      <c r="D583" s="51">
        <v>2356</v>
      </c>
      <c r="I583" s="36"/>
    </row>
    <row r="584" spans="1:9" s="23" customFormat="1" ht="12.75">
      <c r="A584" s="247" t="s">
        <v>378</v>
      </c>
      <c r="B584" s="248" t="s">
        <v>67</v>
      </c>
      <c r="C584" s="249"/>
      <c r="D584" s="50">
        <f>D585+D597+D601</f>
        <v>75564</v>
      </c>
      <c r="I584" s="36"/>
    </row>
    <row r="585" spans="1:9" s="23" customFormat="1" ht="24">
      <c r="A585" s="270" t="s">
        <v>503</v>
      </c>
      <c r="B585" s="271" t="s">
        <v>68</v>
      </c>
      <c r="C585" s="272"/>
      <c r="D585" s="50">
        <f>D586+D591+D594</f>
        <v>11147</v>
      </c>
      <c r="I585" s="36"/>
    </row>
    <row r="586" spans="1:4" s="36" customFormat="1" ht="12.75">
      <c r="A586" s="253" t="s">
        <v>138</v>
      </c>
      <c r="B586" s="305" t="s">
        <v>69</v>
      </c>
      <c r="C586" s="251"/>
      <c r="D586" s="51">
        <f>D587+D589</f>
        <v>10050.8</v>
      </c>
    </row>
    <row r="587" spans="1:4" s="36" customFormat="1" ht="24">
      <c r="A587" s="252" t="s">
        <v>139</v>
      </c>
      <c r="B587" s="305" t="s">
        <v>69</v>
      </c>
      <c r="C587" s="251" t="s">
        <v>228</v>
      </c>
      <c r="D587" s="51">
        <f>D588</f>
        <v>9289.3</v>
      </c>
    </row>
    <row r="588" spans="1:14" s="36" customFormat="1" ht="12.75">
      <c r="A588" s="169" t="s">
        <v>223</v>
      </c>
      <c r="B588" s="305" t="s">
        <v>69</v>
      </c>
      <c r="C588" s="251" t="s">
        <v>224</v>
      </c>
      <c r="D588" s="51">
        <f>8488+490.3+311</f>
        <v>9289.3</v>
      </c>
      <c r="N588" s="23"/>
    </row>
    <row r="589" spans="1:4" s="36" customFormat="1" ht="12.75">
      <c r="A589" s="252" t="s">
        <v>264</v>
      </c>
      <c r="B589" s="305" t="s">
        <v>69</v>
      </c>
      <c r="C589" s="251" t="s">
        <v>216</v>
      </c>
      <c r="D589" s="51">
        <f>D590</f>
        <v>761.5</v>
      </c>
    </row>
    <row r="590" spans="1:4" s="36" customFormat="1" ht="12.75">
      <c r="A590" s="252" t="s">
        <v>217</v>
      </c>
      <c r="B590" s="305" t="s">
        <v>69</v>
      </c>
      <c r="C590" s="251" t="s">
        <v>215</v>
      </c>
      <c r="D590" s="51">
        <v>761.5</v>
      </c>
    </row>
    <row r="591" spans="1:9" s="20" customFormat="1" ht="12.75">
      <c r="A591" s="253" t="s">
        <v>118</v>
      </c>
      <c r="B591" s="250" t="s">
        <v>73</v>
      </c>
      <c r="C591" s="251"/>
      <c r="D591" s="51">
        <f>D592</f>
        <v>921.2</v>
      </c>
      <c r="I591" s="32"/>
    </row>
    <row r="592" spans="1:9" s="20" customFormat="1" ht="12.75">
      <c r="A592" s="253" t="s">
        <v>203</v>
      </c>
      <c r="B592" s="250" t="s">
        <v>73</v>
      </c>
      <c r="C592" s="251" t="s">
        <v>204</v>
      </c>
      <c r="D592" s="51">
        <f>D593</f>
        <v>921.2</v>
      </c>
      <c r="I592" s="33"/>
    </row>
    <row r="593" spans="1:9" s="20" customFormat="1" ht="12.75">
      <c r="A593" s="253" t="s">
        <v>106</v>
      </c>
      <c r="B593" s="250" t="s">
        <v>73</v>
      </c>
      <c r="C593" s="251" t="s">
        <v>133</v>
      </c>
      <c r="D593" s="51">
        <f>862.5+58.7</f>
        <v>921.2</v>
      </c>
      <c r="I593" s="32"/>
    </row>
    <row r="594" spans="1:9" s="20" customFormat="1" ht="12.75">
      <c r="A594" s="253" t="s">
        <v>116</v>
      </c>
      <c r="B594" s="250" t="s">
        <v>449</v>
      </c>
      <c r="C594" s="306"/>
      <c r="D594" s="51">
        <f>D595</f>
        <v>175</v>
      </c>
      <c r="I594" s="32"/>
    </row>
    <row r="595" spans="1:9" s="20" customFormat="1" ht="12.75">
      <c r="A595" s="253" t="s">
        <v>203</v>
      </c>
      <c r="B595" s="250" t="s">
        <v>449</v>
      </c>
      <c r="C595" s="307">
        <v>500</v>
      </c>
      <c r="D595" s="51">
        <f>D596</f>
        <v>175</v>
      </c>
      <c r="I595" s="32"/>
    </row>
    <row r="596" spans="1:10" s="20" customFormat="1" ht="12.75">
      <c r="A596" s="253" t="s">
        <v>106</v>
      </c>
      <c r="B596" s="250" t="s">
        <v>449</v>
      </c>
      <c r="C596" s="307">
        <v>530</v>
      </c>
      <c r="D596" s="51">
        <f>87.5*2</f>
        <v>175</v>
      </c>
      <c r="I596" s="32"/>
      <c r="J596" s="57"/>
    </row>
    <row r="597" spans="1:9" s="20" customFormat="1" ht="12.75">
      <c r="A597" s="270" t="s">
        <v>395</v>
      </c>
      <c r="B597" s="271" t="s">
        <v>66</v>
      </c>
      <c r="C597" s="272"/>
      <c r="D597" s="50">
        <f>D598</f>
        <v>3708</v>
      </c>
      <c r="I597" s="32"/>
    </row>
    <row r="598" spans="1:9" s="20" customFormat="1" ht="12.75">
      <c r="A598" s="253" t="s">
        <v>120</v>
      </c>
      <c r="B598" s="250" t="s">
        <v>65</v>
      </c>
      <c r="C598" s="251"/>
      <c r="D598" s="51">
        <f>D599</f>
        <v>3708</v>
      </c>
      <c r="I598" s="32"/>
    </row>
    <row r="599" spans="1:9" s="20" customFormat="1" ht="12.75">
      <c r="A599" s="253" t="s">
        <v>134</v>
      </c>
      <c r="B599" s="250" t="s">
        <v>65</v>
      </c>
      <c r="C599" s="251" t="s">
        <v>136</v>
      </c>
      <c r="D599" s="51">
        <f>SUM(D600)</f>
        <v>3708</v>
      </c>
      <c r="I599" s="32"/>
    </row>
    <row r="600" spans="1:9" s="20" customFormat="1" ht="12.75">
      <c r="A600" s="253" t="s">
        <v>135</v>
      </c>
      <c r="B600" s="250" t="s">
        <v>65</v>
      </c>
      <c r="C600" s="251" t="s">
        <v>137</v>
      </c>
      <c r="D600" s="51">
        <v>3708</v>
      </c>
      <c r="I600" s="32"/>
    </row>
    <row r="601" spans="1:9" s="20" customFormat="1" ht="12.75">
      <c r="A601" s="308" t="s">
        <v>352</v>
      </c>
      <c r="B601" s="271" t="s">
        <v>39</v>
      </c>
      <c r="C601" s="272"/>
      <c r="D601" s="50">
        <f>D602+D605+D608+D611</f>
        <v>60709</v>
      </c>
      <c r="I601" s="32"/>
    </row>
    <row r="602" spans="1:9" s="20" customFormat="1" ht="12.75">
      <c r="A602" s="253" t="s">
        <v>329</v>
      </c>
      <c r="B602" s="250" t="s">
        <v>285</v>
      </c>
      <c r="C602" s="251"/>
      <c r="D602" s="51">
        <f>D603</f>
        <v>33678.7</v>
      </c>
      <c r="I602" s="32"/>
    </row>
    <row r="603" spans="1:9" s="20" customFormat="1" ht="12.75">
      <c r="A603" s="253" t="s">
        <v>203</v>
      </c>
      <c r="B603" s="250" t="s">
        <v>285</v>
      </c>
      <c r="C603" s="251" t="s">
        <v>204</v>
      </c>
      <c r="D603" s="51">
        <f>SUM(D604:D604)</f>
        <v>33678.7</v>
      </c>
      <c r="I603" s="32"/>
    </row>
    <row r="604" spans="1:9" s="20" customFormat="1" ht="12.75">
      <c r="A604" s="253" t="s">
        <v>104</v>
      </c>
      <c r="B604" s="250" t="s">
        <v>285</v>
      </c>
      <c r="C604" s="251" t="s">
        <v>105</v>
      </c>
      <c r="D604" s="51">
        <v>33678.7</v>
      </c>
      <c r="I604" s="32"/>
    </row>
    <row r="605" spans="1:9" s="20" customFormat="1" ht="12.75">
      <c r="A605" s="253" t="s">
        <v>122</v>
      </c>
      <c r="B605" s="250" t="s">
        <v>40</v>
      </c>
      <c r="C605" s="251"/>
      <c r="D605" s="51">
        <f>D606</f>
        <v>19336.100000000002</v>
      </c>
      <c r="I605" s="32"/>
    </row>
    <row r="606" spans="1:9" s="20" customFormat="1" ht="12.75">
      <c r="A606" s="253" t="s">
        <v>203</v>
      </c>
      <c r="B606" s="250" t="s">
        <v>40</v>
      </c>
      <c r="C606" s="251" t="s">
        <v>204</v>
      </c>
      <c r="D606" s="51">
        <f>SUM(D607:D607)</f>
        <v>19336.100000000002</v>
      </c>
      <c r="I606" s="32"/>
    </row>
    <row r="607" spans="1:9" s="20" customFormat="1" ht="12.75">
      <c r="A607" s="253" t="s">
        <v>219</v>
      </c>
      <c r="B607" s="250" t="s">
        <v>40</v>
      </c>
      <c r="C607" s="251" t="s">
        <v>218</v>
      </c>
      <c r="D607" s="51">
        <f>17780.9+294.2+575.3+535.7+150</f>
        <v>19336.100000000002</v>
      </c>
      <c r="I607" s="32"/>
    </row>
    <row r="608" spans="1:9" s="26" customFormat="1" ht="12.75">
      <c r="A608" s="253" t="s">
        <v>526</v>
      </c>
      <c r="B608" s="250" t="s">
        <v>12</v>
      </c>
      <c r="C608" s="251"/>
      <c r="D608" s="51">
        <f>D609</f>
        <v>7089</v>
      </c>
      <c r="I608" s="17"/>
    </row>
    <row r="609" spans="1:9" s="26" customFormat="1" ht="12.75">
      <c r="A609" s="253" t="s">
        <v>203</v>
      </c>
      <c r="B609" s="250" t="s">
        <v>12</v>
      </c>
      <c r="C609" s="251" t="s">
        <v>204</v>
      </c>
      <c r="D609" s="51">
        <f>SUM(D610:D610)</f>
        <v>7089</v>
      </c>
      <c r="I609" s="17"/>
    </row>
    <row r="610" spans="1:9" s="26" customFormat="1" ht="12.75">
      <c r="A610" s="253" t="s">
        <v>104</v>
      </c>
      <c r="B610" s="250" t="s">
        <v>12</v>
      </c>
      <c r="C610" s="251" t="s">
        <v>105</v>
      </c>
      <c r="D610" s="51">
        <v>7089</v>
      </c>
      <c r="I610" s="17"/>
    </row>
    <row r="611" spans="1:9" s="26" customFormat="1" ht="12.75">
      <c r="A611" s="253" t="s">
        <v>680</v>
      </c>
      <c r="B611" s="250" t="s">
        <v>682</v>
      </c>
      <c r="C611" s="251"/>
      <c r="D611" s="51">
        <f>D612</f>
        <v>605.2</v>
      </c>
      <c r="I611" s="17"/>
    </row>
    <row r="612" spans="1:9" s="20" customFormat="1" ht="12.75">
      <c r="A612" s="253" t="s">
        <v>203</v>
      </c>
      <c r="B612" s="250" t="s">
        <v>682</v>
      </c>
      <c r="C612" s="251" t="s">
        <v>204</v>
      </c>
      <c r="D612" s="51">
        <f>SUM(D613:D613)</f>
        <v>605.2</v>
      </c>
      <c r="I612" s="32"/>
    </row>
    <row r="613" spans="1:9" s="20" customFormat="1" ht="12.75">
      <c r="A613" s="253" t="s">
        <v>104</v>
      </c>
      <c r="B613" s="250" t="s">
        <v>682</v>
      </c>
      <c r="C613" s="251" t="s">
        <v>105</v>
      </c>
      <c r="D613" s="51">
        <v>605.2</v>
      </c>
      <c r="I613" s="32"/>
    </row>
    <row r="614" spans="1:9" s="20" customFormat="1" ht="12.75">
      <c r="A614" s="285" t="s">
        <v>424</v>
      </c>
      <c r="B614" s="248" t="s">
        <v>425</v>
      </c>
      <c r="C614" s="249"/>
      <c r="D614" s="50">
        <f>D615+D618+D621</f>
        <v>4174.9</v>
      </c>
      <c r="I614" s="32"/>
    </row>
    <row r="615" spans="1:9" s="20" customFormat="1" ht="12.75">
      <c r="A615" s="253" t="s">
        <v>111</v>
      </c>
      <c r="B615" s="250" t="s">
        <v>456</v>
      </c>
      <c r="C615" s="251"/>
      <c r="D615" s="51">
        <f>D616</f>
        <v>60</v>
      </c>
      <c r="I615" s="32"/>
    </row>
    <row r="616" spans="1:9" s="20" customFormat="1" ht="12.75">
      <c r="A616" s="252" t="s">
        <v>264</v>
      </c>
      <c r="B616" s="250" t="s">
        <v>456</v>
      </c>
      <c r="C616" s="251" t="s">
        <v>216</v>
      </c>
      <c r="D616" s="51">
        <f>D617</f>
        <v>60</v>
      </c>
      <c r="I616" s="32"/>
    </row>
    <row r="617" spans="1:9" s="20" customFormat="1" ht="12.75">
      <c r="A617" s="252" t="s">
        <v>217</v>
      </c>
      <c r="B617" s="250" t="s">
        <v>456</v>
      </c>
      <c r="C617" s="251" t="s">
        <v>215</v>
      </c>
      <c r="D617" s="51">
        <v>60</v>
      </c>
      <c r="I617" s="32"/>
    </row>
    <row r="618" spans="1:9" s="20" customFormat="1" ht="12.75">
      <c r="A618" s="253" t="s">
        <v>427</v>
      </c>
      <c r="B618" s="250" t="s">
        <v>426</v>
      </c>
      <c r="C618" s="251"/>
      <c r="D618" s="51">
        <f>D619</f>
        <v>52</v>
      </c>
      <c r="I618" s="32"/>
    </row>
    <row r="619" spans="1:9" s="20" customFormat="1" ht="12.75">
      <c r="A619" s="169" t="s">
        <v>102</v>
      </c>
      <c r="B619" s="250" t="s">
        <v>426</v>
      </c>
      <c r="C619" s="251" t="s">
        <v>98</v>
      </c>
      <c r="D619" s="51">
        <f>D620</f>
        <v>52</v>
      </c>
      <c r="I619" s="32"/>
    </row>
    <row r="620" spans="1:9" s="20" customFormat="1" ht="12.75">
      <c r="A620" s="253" t="s">
        <v>97</v>
      </c>
      <c r="B620" s="250" t="s">
        <v>426</v>
      </c>
      <c r="C620" s="251" t="s">
        <v>99</v>
      </c>
      <c r="D620" s="51">
        <v>52</v>
      </c>
      <c r="I620" s="32"/>
    </row>
    <row r="621" spans="1:9" s="20" customFormat="1" ht="24">
      <c r="A621" s="253" t="s">
        <v>144</v>
      </c>
      <c r="B621" s="250" t="s">
        <v>536</v>
      </c>
      <c r="C621" s="251"/>
      <c r="D621" s="51">
        <f>D622+D624</f>
        <v>4062.9</v>
      </c>
      <c r="I621" s="32"/>
    </row>
    <row r="622" spans="1:9" s="20" customFormat="1" ht="24">
      <c r="A622" s="252" t="s">
        <v>139</v>
      </c>
      <c r="B622" s="250" t="s">
        <v>536</v>
      </c>
      <c r="C622" s="251" t="s">
        <v>228</v>
      </c>
      <c r="D622" s="51">
        <f>D623</f>
        <v>3463.33142</v>
      </c>
      <c r="I622" s="32"/>
    </row>
    <row r="623" spans="1:9" s="20" customFormat="1" ht="12.75">
      <c r="A623" s="169" t="s">
        <v>223</v>
      </c>
      <c r="B623" s="250" t="s">
        <v>536</v>
      </c>
      <c r="C623" s="251" t="s">
        <v>224</v>
      </c>
      <c r="D623" s="51">
        <f>3677.9-155.54728-12.0213-47</f>
        <v>3463.33142</v>
      </c>
      <c r="I623" s="32"/>
    </row>
    <row r="624" spans="1:9" s="20" customFormat="1" ht="12.75">
      <c r="A624" s="252" t="s">
        <v>264</v>
      </c>
      <c r="B624" s="250" t="s">
        <v>536</v>
      </c>
      <c r="C624" s="251" t="s">
        <v>216</v>
      </c>
      <c r="D624" s="51">
        <f>D625</f>
        <v>599.56858</v>
      </c>
      <c r="I624" s="32"/>
    </row>
    <row r="625" spans="1:9" s="20" customFormat="1" ht="12.75">
      <c r="A625" s="252" t="s">
        <v>217</v>
      </c>
      <c r="B625" s="250" t="s">
        <v>536</v>
      </c>
      <c r="C625" s="251" t="s">
        <v>215</v>
      </c>
      <c r="D625" s="51">
        <f>385+214.56858</f>
        <v>599.56858</v>
      </c>
      <c r="I625" s="32"/>
    </row>
    <row r="626" spans="1:9" s="20" customFormat="1" ht="12.75">
      <c r="A626" s="285" t="s">
        <v>340</v>
      </c>
      <c r="B626" s="248" t="s">
        <v>25</v>
      </c>
      <c r="C626" s="249"/>
      <c r="D626" s="50">
        <f>D627+D636</f>
        <v>170131</v>
      </c>
      <c r="I626" s="32"/>
    </row>
    <row r="627" spans="1:9" s="20" customFormat="1" ht="12.75">
      <c r="A627" s="308" t="s">
        <v>354</v>
      </c>
      <c r="B627" s="271" t="s">
        <v>341</v>
      </c>
      <c r="C627" s="272"/>
      <c r="D627" s="50">
        <f>D628+D633</f>
        <v>19459</v>
      </c>
      <c r="I627" s="32"/>
    </row>
    <row r="628" spans="1:9" s="20" customFormat="1" ht="12.75">
      <c r="A628" s="253" t="s">
        <v>343</v>
      </c>
      <c r="B628" s="250" t="s">
        <v>342</v>
      </c>
      <c r="C628" s="251"/>
      <c r="D628" s="51">
        <f>D629+D631</f>
        <v>14521.4</v>
      </c>
      <c r="I628" s="33"/>
    </row>
    <row r="629" spans="1:9" s="20" customFormat="1" ht="12.75">
      <c r="A629" s="169" t="s">
        <v>102</v>
      </c>
      <c r="B629" s="250" t="s">
        <v>342</v>
      </c>
      <c r="C629" s="251" t="s">
        <v>98</v>
      </c>
      <c r="D629" s="51">
        <f>D630</f>
        <v>1024.9</v>
      </c>
      <c r="I629" s="32"/>
    </row>
    <row r="630" spans="1:9" s="20" customFormat="1" ht="12.75">
      <c r="A630" s="253" t="s">
        <v>97</v>
      </c>
      <c r="B630" s="250" t="s">
        <v>342</v>
      </c>
      <c r="C630" s="251" t="s">
        <v>99</v>
      </c>
      <c r="D630" s="51">
        <f>220+785+232.9-213</f>
        <v>1024.9</v>
      </c>
      <c r="I630" s="32"/>
    </row>
    <row r="631" spans="1:9" s="20" customFormat="1" ht="12.75">
      <c r="A631" s="169" t="s">
        <v>265</v>
      </c>
      <c r="B631" s="250" t="s">
        <v>342</v>
      </c>
      <c r="C631" s="251" t="s">
        <v>229</v>
      </c>
      <c r="D631" s="51">
        <f>D632</f>
        <v>13496.5</v>
      </c>
      <c r="I631" s="32"/>
    </row>
    <row r="632" spans="1:9" s="20" customFormat="1" ht="12.75">
      <c r="A632" s="284" t="s">
        <v>207</v>
      </c>
      <c r="B632" s="250" t="s">
        <v>342</v>
      </c>
      <c r="C632" s="251" t="s">
        <v>230</v>
      </c>
      <c r="D632" s="51">
        <f>13976.5-480</f>
        <v>13496.5</v>
      </c>
      <c r="I632" s="32"/>
    </row>
    <row r="633" spans="1:9" s="20" customFormat="1" ht="24">
      <c r="A633" s="253" t="s">
        <v>606</v>
      </c>
      <c r="B633" s="250" t="s">
        <v>610</v>
      </c>
      <c r="C633" s="251"/>
      <c r="D633" s="51">
        <f>D634</f>
        <v>4937.6</v>
      </c>
      <c r="I633" s="32"/>
    </row>
    <row r="634" spans="1:9" s="20" customFormat="1" ht="12.75">
      <c r="A634" s="169" t="s">
        <v>265</v>
      </c>
      <c r="B634" s="250" t="s">
        <v>610</v>
      </c>
      <c r="C634" s="251" t="s">
        <v>229</v>
      </c>
      <c r="D634" s="51">
        <f>D635</f>
        <v>4937.6</v>
      </c>
      <c r="I634" s="32"/>
    </row>
    <row r="635" spans="1:9" s="20" customFormat="1" ht="12.75">
      <c r="A635" s="284" t="s">
        <v>207</v>
      </c>
      <c r="B635" s="250" t="s">
        <v>610</v>
      </c>
      <c r="C635" s="251" t="s">
        <v>230</v>
      </c>
      <c r="D635" s="51">
        <v>4937.6</v>
      </c>
      <c r="I635" s="32"/>
    </row>
    <row r="636" spans="1:9" s="20" customFormat="1" ht="12.75">
      <c r="A636" s="308" t="s">
        <v>355</v>
      </c>
      <c r="B636" s="271" t="s">
        <v>344</v>
      </c>
      <c r="C636" s="272"/>
      <c r="D636" s="50">
        <f>D640+D637</f>
        <v>150672</v>
      </c>
      <c r="I636" s="32"/>
    </row>
    <row r="637" spans="1:9" s="20" customFormat="1" ht="38.25">
      <c r="A637" s="112" t="s">
        <v>702</v>
      </c>
      <c r="B637" s="292" t="s">
        <v>701</v>
      </c>
      <c r="C637" s="251"/>
      <c r="D637" s="51">
        <f>D638</f>
        <v>24005.9</v>
      </c>
      <c r="I637" s="32"/>
    </row>
    <row r="638" spans="1:9" s="20" customFormat="1" ht="12.75">
      <c r="A638" s="169" t="s">
        <v>265</v>
      </c>
      <c r="B638" s="292" t="s">
        <v>701</v>
      </c>
      <c r="C638" s="251" t="s">
        <v>229</v>
      </c>
      <c r="D638" s="51">
        <f>D639</f>
        <v>24005.9</v>
      </c>
      <c r="I638" s="32"/>
    </row>
    <row r="639" spans="1:9" s="20" customFormat="1" ht="12.75">
      <c r="A639" s="284" t="s">
        <v>207</v>
      </c>
      <c r="B639" s="292" t="s">
        <v>701</v>
      </c>
      <c r="C639" s="251" t="s">
        <v>230</v>
      </c>
      <c r="D639" s="51">
        <v>24005.9</v>
      </c>
      <c r="I639" s="32"/>
    </row>
    <row r="640" spans="1:9" s="20" customFormat="1" ht="24">
      <c r="A640" s="253" t="s">
        <v>606</v>
      </c>
      <c r="B640" s="250" t="s">
        <v>605</v>
      </c>
      <c r="C640" s="251"/>
      <c r="D640" s="51">
        <f>D641</f>
        <v>126666.09999999999</v>
      </c>
      <c r="E640" s="21"/>
      <c r="I640" s="32"/>
    </row>
    <row r="641" spans="1:9" s="20" customFormat="1" ht="12.75">
      <c r="A641" s="169" t="s">
        <v>265</v>
      </c>
      <c r="B641" s="250" t="s">
        <v>605</v>
      </c>
      <c r="C641" s="251" t="s">
        <v>229</v>
      </c>
      <c r="D641" s="51">
        <f>D642</f>
        <v>126666.09999999999</v>
      </c>
      <c r="I641" s="32"/>
    </row>
    <row r="642" spans="1:9" s="20" customFormat="1" ht="12.75">
      <c r="A642" s="284" t="s">
        <v>207</v>
      </c>
      <c r="B642" s="250" t="s">
        <v>605</v>
      </c>
      <c r="C642" s="251" t="s">
        <v>230</v>
      </c>
      <c r="D642" s="51">
        <f>148271.4-21605.3</f>
        <v>126666.09999999999</v>
      </c>
      <c r="I642" s="32"/>
    </row>
    <row r="643" spans="1:9" s="20" customFormat="1" ht="12.75">
      <c r="A643" s="279" t="s">
        <v>281</v>
      </c>
      <c r="B643" s="248" t="s">
        <v>276</v>
      </c>
      <c r="C643" s="286"/>
      <c r="D643" s="320">
        <f>D644+D652</f>
        <v>3966.1000000000004</v>
      </c>
      <c r="I643" s="32"/>
    </row>
    <row r="644" spans="1:9" s="20" customFormat="1" ht="12.75">
      <c r="A644" s="284" t="s">
        <v>232</v>
      </c>
      <c r="B644" s="250" t="s">
        <v>277</v>
      </c>
      <c r="C644" s="251"/>
      <c r="D644" s="51">
        <f>D645+D649</f>
        <v>3015.2000000000003</v>
      </c>
      <c r="I644" s="32"/>
    </row>
    <row r="645" spans="1:9" s="26" customFormat="1" ht="12.75">
      <c r="A645" s="284" t="s">
        <v>129</v>
      </c>
      <c r="B645" s="250" t="s">
        <v>278</v>
      </c>
      <c r="C645" s="251"/>
      <c r="D645" s="51">
        <f>D646</f>
        <v>204.8</v>
      </c>
      <c r="I645" s="17"/>
    </row>
    <row r="646" spans="1:9" s="26" customFormat="1" ht="12.75">
      <c r="A646" s="284" t="s">
        <v>220</v>
      </c>
      <c r="B646" s="250" t="s">
        <v>278</v>
      </c>
      <c r="C646" s="251" t="s">
        <v>206</v>
      </c>
      <c r="D646" s="51">
        <f>D647+D648</f>
        <v>204.8</v>
      </c>
      <c r="I646" s="17"/>
    </row>
    <row r="647" spans="1:9" s="26" customFormat="1" ht="12.75">
      <c r="A647" s="284" t="s">
        <v>221</v>
      </c>
      <c r="B647" s="250" t="s">
        <v>278</v>
      </c>
      <c r="C647" s="251" t="s">
        <v>222</v>
      </c>
      <c r="D647" s="51">
        <f>205.2-4.7</f>
        <v>200.5</v>
      </c>
      <c r="I647" s="17"/>
    </row>
    <row r="648" spans="1:9" s="26" customFormat="1" ht="12.75">
      <c r="A648" s="284" t="s">
        <v>227</v>
      </c>
      <c r="B648" s="250" t="s">
        <v>278</v>
      </c>
      <c r="C648" s="251" t="s">
        <v>226</v>
      </c>
      <c r="D648" s="51">
        <v>4.3</v>
      </c>
      <c r="I648" s="17"/>
    </row>
    <row r="649" spans="1:9" s="26" customFormat="1" ht="24">
      <c r="A649" s="284" t="s">
        <v>332</v>
      </c>
      <c r="B649" s="250" t="s">
        <v>283</v>
      </c>
      <c r="C649" s="251"/>
      <c r="D649" s="51">
        <f>D650</f>
        <v>2810.4</v>
      </c>
      <c r="I649" s="17"/>
    </row>
    <row r="650" spans="1:9" s="26" customFormat="1" ht="12.75">
      <c r="A650" s="284" t="s">
        <v>220</v>
      </c>
      <c r="B650" s="250" t="s">
        <v>283</v>
      </c>
      <c r="C650" s="251" t="s">
        <v>206</v>
      </c>
      <c r="D650" s="51">
        <f>SUM(D651:D651)</f>
        <v>2810.4</v>
      </c>
      <c r="I650" s="17"/>
    </row>
    <row r="651" spans="1:9" s="26" customFormat="1" ht="12.75">
      <c r="A651" s="284" t="s">
        <v>221</v>
      </c>
      <c r="B651" s="250" t="s">
        <v>283</v>
      </c>
      <c r="C651" s="251" t="s">
        <v>222</v>
      </c>
      <c r="D651" s="51">
        <v>2810.4</v>
      </c>
      <c r="I651" s="17"/>
    </row>
    <row r="652" spans="1:9" s="26" customFormat="1" ht="12.75">
      <c r="A652" s="284" t="s">
        <v>231</v>
      </c>
      <c r="B652" s="250" t="s">
        <v>279</v>
      </c>
      <c r="C652" s="251"/>
      <c r="D652" s="51">
        <f>D653+D656+D659</f>
        <v>950.9</v>
      </c>
      <c r="I652" s="17"/>
    </row>
    <row r="653" spans="1:9" s="26" customFormat="1" ht="12.75">
      <c r="A653" s="284" t="s">
        <v>323</v>
      </c>
      <c r="B653" s="250" t="s">
        <v>347</v>
      </c>
      <c r="C653" s="251"/>
      <c r="D653" s="51">
        <f>D654</f>
        <v>500</v>
      </c>
      <c r="E653" s="27"/>
      <c r="G653" s="27"/>
      <c r="I653" s="17"/>
    </row>
    <row r="654" spans="1:4" s="17" customFormat="1" ht="12.75">
      <c r="A654" s="284" t="s">
        <v>220</v>
      </c>
      <c r="B654" s="250" t="s">
        <v>347</v>
      </c>
      <c r="C654" s="251" t="s">
        <v>206</v>
      </c>
      <c r="D654" s="51">
        <f>D655</f>
        <v>500</v>
      </c>
    </row>
    <row r="655" spans="1:9" s="26" customFormat="1" ht="12.75">
      <c r="A655" s="284" t="s">
        <v>227</v>
      </c>
      <c r="B655" s="250" t="s">
        <v>347</v>
      </c>
      <c r="C655" s="251" t="s">
        <v>226</v>
      </c>
      <c r="D655" s="51">
        <v>500</v>
      </c>
      <c r="E655" s="27"/>
      <c r="G655" s="27"/>
      <c r="I655" s="17"/>
    </row>
    <row r="656" spans="1:4" s="17" customFormat="1" ht="12.75">
      <c r="A656" s="284" t="s">
        <v>325</v>
      </c>
      <c r="B656" s="250" t="s">
        <v>346</v>
      </c>
      <c r="C656" s="251"/>
      <c r="D656" s="51">
        <f>D657</f>
        <v>350.9</v>
      </c>
    </row>
    <row r="657" spans="1:4" s="17" customFormat="1" ht="12.75">
      <c r="A657" s="284" t="s">
        <v>220</v>
      </c>
      <c r="B657" s="250" t="s">
        <v>346</v>
      </c>
      <c r="C657" s="251" t="s">
        <v>206</v>
      </c>
      <c r="D657" s="51">
        <f>D658</f>
        <v>350.9</v>
      </c>
    </row>
    <row r="658" spans="1:4" s="17" customFormat="1" ht="12.75">
      <c r="A658" s="284" t="s">
        <v>227</v>
      </c>
      <c r="B658" s="250" t="s">
        <v>346</v>
      </c>
      <c r="C658" s="251" t="s">
        <v>226</v>
      </c>
      <c r="D658" s="51">
        <v>350.9</v>
      </c>
    </row>
    <row r="659" spans="1:4" s="17" customFormat="1" ht="12.75">
      <c r="A659" s="284" t="s">
        <v>326</v>
      </c>
      <c r="B659" s="250" t="s">
        <v>475</v>
      </c>
      <c r="C659" s="251"/>
      <c r="D659" s="51">
        <f>D660</f>
        <v>100</v>
      </c>
    </row>
    <row r="660" spans="1:4" s="17" customFormat="1" ht="12.75">
      <c r="A660" s="284" t="s">
        <v>220</v>
      </c>
      <c r="B660" s="250" t="s">
        <v>475</v>
      </c>
      <c r="C660" s="251" t="s">
        <v>206</v>
      </c>
      <c r="D660" s="51">
        <f>D661</f>
        <v>100</v>
      </c>
    </row>
    <row r="661" spans="1:4" s="17" customFormat="1" ht="12.75">
      <c r="A661" s="284" t="s">
        <v>227</v>
      </c>
      <c r="B661" s="250" t="s">
        <v>475</v>
      </c>
      <c r="C661" s="251" t="s">
        <v>226</v>
      </c>
      <c r="D661" s="51">
        <v>100</v>
      </c>
    </row>
    <row r="662" spans="1:4" s="17" customFormat="1" ht="24">
      <c r="A662" s="247" t="s">
        <v>584</v>
      </c>
      <c r="B662" s="309" t="s">
        <v>47</v>
      </c>
      <c r="C662" s="249"/>
      <c r="D662" s="50">
        <f>D671+D678+D692+D697+D700+D703+D683+D663+D686+D689</f>
        <v>61185.3</v>
      </c>
    </row>
    <row r="663" spans="1:4" s="17" customFormat="1" ht="12.75">
      <c r="A663" s="170" t="s">
        <v>127</v>
      </c>
      <c r="B663" s="305" t="s">
        <v>305</v>
      </c>
      <c r="C663" s="251"/>
      <c r="D663" s="51">
        <f>D664+D666+D668</f>
        <v>23008.1</v>
      </c>
    </row>
    <row r="664" spans="1:4" s="17" customFormat="1" ht="24">
      <c r="A664" s="252" t="s">
        <v>139</v>
      </c>
      <c r="B664" s="305" t="s">
        <v>305</v>
      </c>
      <c r="C664" s="251" t="s">
        <v>228</v>
      </c>
      <c r="D664" s="51">
        <f>D665</f>
        <v>6131.3</v>
      </c>
    </row>
    <row r="665" spans="1:4" s="17" customFormat="1" ht="12.75">
      <c r="A665" s="252" t="s">
        <v>307</v>
      </c>
      <c r="B665" s="305" t="s">
        <v>305</v>
      </c>
      <c r="C665" s="251" t="s">
        <v>306</v>
      </c>
      <c r="D665" s="51">
        <f>5443.6+355+201.7+131</f>
        <v>6131.3</v>
      </c>
    </row>
    <row r="666" spans="1:4" s="17" customFormat="1" ht="12.75">
      <c r="A666" s="252" t="s">
        <v>264</v>
      </c>
      <c r="B666" s="305" t="s">
        <v>305</v>
      </c>
      <c r="C666" s="251" t="s">
        <v>216</v>
      </c>
      <c r="D666" s="51">
        <f>D667</f>
        <v>16249.5</v>
      </c>
    </row>
    <row r="667" spans="1:4" s="17" customFormat="1" ht="12.75">
      <c r="A667" s="252" t="s">
        <v>217</v>
      </c>
      <c r="B667" s="305" t="s">
        <v>305</v>
      </c>
      <c r="C667" s="251" t="s">
        <v>215</v>
      </c>
      <c r="D667" s="51">
        <v>16249.5</v>
      </c>
    </row>
    <row r="668" spans="1:4" s="17" customFormat="1" ht="12.75">
      <c r="A668" s="169" t="s">
        <v>107</v>
      </c>
      <c r="B668" s="305" t="s">
        <v>305</v>
      </c>
      <c r="C668" s="251" t="s">
        <v>100</v>
      </c>
      <c r="D668" s="51">
        <f>D670+D669</f>
        <v>627.3</v>
      </c>
    </row>
    <row r="669" spans="1:4" s="17" customFormat="1" ht="12.75">
      <c r="A669" s="169" t="s">
        <v>351</v>
      </c>
      <c r="B669" s="305" t="s">
        <v>305</v>
      </c>
      <c r="C669" s="251" t="s">
        <v>607</v>
      </c>
      <c r="D669" s="51">
        <v>5.3</v>
      </c>
    </row>
    <row r="670" spans="1:4" s="17" customFormat="1" ht="12.75">
      <c r="A670" s="169" t="s">
        <v>242</v>
      </c>
      <c r="B670" s="305" t="s">
        <v>305</v>
      </c>
      <c r="C670" s="251" t="s">
        <v>243</v>
      </c>
      <c r="D670" s="51">
        <v>622</v>
      </c>
    </row>
    <row r="671" spans="1:4" s="17" customFormat="1" ht="12.75">
      <c r="A671" s="170" t="s">
        <v>138</v>
      </c>
      <c r="B671" s="305" t="s">
        <v>48</v>
      </c>
      <c r="C671" s="251"/>
      <c r="D671" s="51">
        <f>D672+D674+D676</f>
        <v>32869.00000000001</v>
      </c>
    </row>
    <row r="672" spans="1:4" s="17" customFormat="1" ht="24">
      <c r="A672" s="252" t="s">
        <v>139</v>
      </c>
      <c r="B672" s="305" t="s">
        <v>48</v>
      </c>
      <c r="C672" s="251" t="s">
        <v>228</v>
      </c>
      <c r="D672" s="51">
        <f>D673</f>
        <v>31791.300000000003</v>
      </c>
    </row>
    <row r="673" spans="1:4" s="17" customFormat="1" ht="12.75">
      <c r="A673" s="169" t="s">
        <v>223</v>
      </c>
      <c r="B673" s="305" t="s">
        <v>48</v>
      </c>
      <c r="C673" s="251" t="s">
        <v>224</v>
      </c>
      <c r="D673" s="51">
        <f>28134.5+1153.4+1939.2+564.2</f>
        <v>31791.300000000003</v>
      </c>
    </row>
    <row r="674" spans="1:4" s="17" customFormat="1" ht="12.75">
      <c r="A674" s="252" t="s">
        <v>264</v>
      </c>
      <c r="B674" s="305" t="s">
        <v>48</v>
      </c>
      <c r="C674" s="251" t="s">
        <v>216</v>
      </c>
      <c r="D674" s="51">
        <f>D675</f>
        <v>1064.4</v>
      </c>
    </row>
    <row r="675" spans="1:4" s="17" customFormat="1" ht="12.75">
      <c r="A675" s="252" t="s">
        <v>217</v>
      </c>
      <c r="B675" s="305" t="s">
        <v>48</v>
      </c>
      <c r="C675" s="251" t="s">
        <v>215</v>
      </c>
      <c r="D675" s="51">
        <v>1064.4</v>
      </c>
    </row>
    <row r="676" spans="1:4" s="17" customFormat="1" ht="12.75">
      <c r="A676" s="169" t="s">
        <v>107</v>
      </c>
      <c r="B676" s="305" t="s">
        <v>48</v>
      </c>
      <c r="C676" s="251" t="s">
        <v>100</v>
      </c>
      <c r="D676" s="51">
        <f>D677</f>
        <v>13.3</v>
      </c>
    </row>
    <row r="677" spans="1:4" s="17" customFormat="1" ht="12.75">
      <c r="A677" s="169" t="s">
        <v>242</v>
      </c>
      <c r="B677" s="305" t="s">
        <v>48</v>
      </c>
      <c r="C677" s="251" t="s">
        <v>243</v>
      </c>
      <c r="D677" s="51">
        <v>13.3</v>
      </c>
    </row>
    <row r="678" spans="1:4" s="17" customFormat="1" ht="12.75">
      <c r="A678" s="253" t="s">
        <v>109</v>
      </c>
      <c r="B678" s="250" t="s">
        <v>59</v>
      </c>
      <c r="C678" s="251"/>
      <c r="D678" s="51">
        <f>SUM(D679,D681)</f>
        <v>2521.2</v>
      </c>
    </row>
    <row r="679" spans="1:4" s="17" customFormat="1" ht="12.75">
      <c r="A679" s="252" t="s">
        <v>264</v>
      </c>
      <c r="B679" s="250" t="s">
        <v>59</v>
      </c>
      <c r="C679" s="251" t="s">
        <v>216</v>
      </c>
      <c r="D679" s="51">
        <f>D680</f>
        <v>2486.2</v>
      </c>
    </row>
    <row r="680" spans="1:4" s="17" customFormat="1" ht="12.75">
      <c r="A680" s="252" t="s">
        <v>217</v>
      </c>
      <c r="B680" s="250" t="s">
        <v>59</v>
      </c>
      <c r="C680" s="251" t="s">
        <v>215</v>
      </c>
      <c r="D680" s="51">
        <v>2486.2</v>
      </c>
    </row>
    <row r="681" spans="1:4" s="17" customFormat="1" ht="12.75">
      <c r="A681" s="169" t="s">
        <v>107</v>
      </c>
      <c r="B681" s="250" t="s">
        <v>59</v>
      </c>
      <c r="C681" s="251" t="s">
        <v>100</v>
      </c>
      <c r="D681" s="51">
        <f>D682</f>
        <v>35</v>
      </c>
    </row>
    <row r="682" spans="1:4" s="17" customFormat="1" ht="12.75">
      <c r="A682" s="169" t="s">
        <v>242</v>
      </c>
      <c r="B682" s="250" t="s">
        <v>59</v>
      </c>
      <c r="C682" s="251" t="s">
        <v>243</v>
      </c>
      <c r="D682" s="51">
        <v>35</v>
      </c>
    </row>
    <row r="683" spans="1:4" s="17" customFormat="1" ht="24">
      <c r="A683" s="88" t="s">
        <v>293</v>
      </c>
      <c r="B683" s="305" t="s">
        <v>294</v>
      </c>
      <c r="C683" s="251"/>
      <c r="D683" s="51">
        <f>D684</f>
        <v>177.6</v>
      </c>
    </row>
    <row r="684" spans="1:4" s="17" customFormat="1" ht="12.75">
      <c r="A684" s="252" t="s">
        <v>264</v>
      </c>
      <c r="B684" s="305" t="s">
        <v>294</v>
      </c>
      <c r="C684" s="251" t="s">
        <v>216</v>
      </c>
      <c r="D684" s="51">
        <f>D685</f>
        <v>177.6</v>
      </c>
    </row>
    <row r="685" spans="1:4" s="17" customFormat="1" ht="12.75">
      <c r="A685" s="252" t="s">
        <v>217</v>
      </c>
      <c r="B685" s="305" t="s">
        <v>294</v>
      </c>
      <c r="C685" s="251" t="s">
        <v>215</v>
      </c>
      <c r="D685" s="51">
        <f>192.6-15</f>
        <v>177.6</v>
      </c>
    </row>
    <row r="686" spans="1:4" s="17" customFormat="1" ht="24">
      <c r="A686" s="253" t="s">
        <v>669</v>
      </c>
      <c r="B686" s="305" t="s">
        <v>668</v>
      </c>
      <c r="C686" s="251"/>
      <c r="D686" s="51">
        <f>D687</f>
        <v>293.2</v>
      </c>
    </row>
    <row r="687" spans="1:4" s="17" customFormat="1" ht="24">
      <c r="A687" s="252" t="s">
        <v>139</v>
      </c>
      <c r="B687" s="305" t="s">
        <v>668</v>
      </c>
      <c r="C687" s="251" t="s">
        <v>228</v>
      </c>
      <c r="D687" s="51">
        <f>D688</f>
        <v>293.2</v>
      </c>
    </row>
    <row r="688" spans="1:4" s="17" customFormat="1" ht="12.75">
      <c r="A688" s="169" t="s">
        <v>223</v>
      </c>
      <c r="B688" s="305" t="s">
        <v>668</v>
      </c>
      <c r="C688" s="251" t="s">
        <v>224</v>
      </c>
      <c r="D688" s="51">
        <v>293.2</v>
      </c>
    </row>
    <row r="689" spans="1:4" s="17" customFormat="1" ht="12.75">
      <c r="A689" s="253" t="s">
        <v>680</v>
      </c>
      <c r="B689" s="305" t="s">
        <v>679</v>
      </c>
      <c r="C689" s="251"/>
      <c r="D689" s="51">
        <f>D690</f>
        <v>357.4</v>
      </c>
    </row>
    <row r="690" spans="1:4" s="17" customFormat="1" ht="24">
      <c r="A690" s="252" t="s">
        <v>139</v>
      </c>
      <c r="B690" s="305" t="s">
        <v>679</v>
      </c>
      <c r="C690" s="251" t="s">
        <v>228</v>
      </c>
      <c r="D690" s="51">
        <f>D691</f>
        <v>357.4</v>
      </c>
    </row>
    <row r="691" spans="1:4" s="17" customFormat="1" ht="12.75">
      <c r="A691" s="169" t="s">
        <v>307</v>
      </c>
      <c r="B691" s="305" t="s">
        <v>679</v>
      </c>
      <c r="C691" s="251" t="s">
        <v>306</v>
      </c>
      <c r="D691" s="51">
        <v>357.4</v>
      </c>
    </row>
    <row r="692" spans="1:4" s="17" customFormat="1" ht="12.75">
      <c r="A692" s="310" t="s">
        <v>142</v>
      </c>
      <c r="B692" s="305" t="s">
        <v>312</v>
      </c>
      <c r="C692" s="251"/>
      <c r="D692" s="51">
        <f>D693+D695</f>
        <v>1477.4</v>
      </c>
    </row>
    <row r="693" spans="1:4" s="17" customFormat="1" ht="24">
      <c r="A693" s="252" t="s">
        <v>139</v>
      </c>
      <c r="B693" s="305" t="s">
        <v>312</v>
      </c>
      <c r="C693" s="251" t="s">
        <v>228</v>
      </c>
      <c r="D693" s="51">
        <f>D694</f>
        <v>1337.4</v>
      </c>
    </row>
    <row r="694" spans="1:4" s="17" customFormat="1" ht="12.75">
      <c r="A694" s="169" t="s">
        <v>223</v>
      </c>
      <c r="B694" s="305" t="s">
        <v>312</v>
      </c>
      <c r="C694" s="251" t="s">
        <v>224</v>
      </c>
      <c r="D694" s="51">
        <v>1337.4</v>
      </c>
    </row>
    <row r="695" spans="1:4" s="17" customFormat="1" ht="12.75">
      <c r="A695" s="252" t="s">
        <v>264</v>
      </c>
      <c r="B695" s="305" t="s">
        <v>312</v>
      </c>
      <c r="C695" s="251" t="s">
        <v>216</v>
      </c>
      <c r="D695" s="51">
        <f>D696</f>
        <v>140</v>
      </c>
    </row>
    <row r="696" spans="1:4" s="17" customFormat="1" ht="12.75">
      <c r="A696" s="252" t="s">
        <v>217</v>
      </c>
      <c r="B696" s="305" t="s">
        <v>312</v>
      </c>
      <c r="C696" s="251" t="s">
        <v>215</v>
      </c>
      <c r="D696" s="51">
        <v>140</v>
      </c>
    </row>
    <row r="697" spans="1:4" s="17" customFormat="1" ht="12.75">
      <c r="A697" s="253" t="s">
        <v>116</v>
      </c>
      <c r="B697" s="254" t="s">
        <v>448</v>
      </c>
      <c r="C697" s="251"/>
      <c r="D697" s="51">
        <f>D698</f>
        <v>105</v>
      </c>
    </row>
    <row r="698" spans="1:4" s="17" customFormat="1" ht="12.75">
      <c r="A698" s="252" t="s">
        <v>264</v>
      </c>
      <c r="B698" s="254" t="s">
        <v>448</v>
      </c>
      <c r="C698" s="251" t="s">
        <v>216</v>
      </c>
      <c r="D698" s="51">
        <f>D699</f>
        <v>105</v>
      </c>
    </row>
    <row r="699" spans="1:4" s="17" customFormat="1" ht="12.75">
      <c r="A699" s="252" t="s">
        <v>217</v>
      </c>
      <c r="B699" s="254" t="s">
        <v>448</v>
      </c>
      <c r="C699" s="251" t="s">
        <v>215</v>
      </c>
      <c r="D699" s="51">
        <v>105</v>
      </c>
    </row>
    <row r="700" spans="1:4" s="17" customFormat="1" ht="24">
      <c r="A700" s="252" t="s">
        <v>143</v>
      </c>
      <c r="B700" s="254" t="s">
        <v>52</v>
      </c>
      <c r="C700" s="251"/>
      <c r="D700" s="51">
        <f>D701</f>
        <v>7</v>
      </c>
    </row>
    <row r="701" spans="1:4" s="17" customFormat="1" ht="12.75">
      <c r="A701" s="252" t="s">
        <v>264</v>
      </c>
      <c r="B701" s="254" t="s">
        <v>52</v>
      </c>
      <c r="C701" s="251" t="s">
        <v>216</v>
      </c>
      <c r="D701" s="51">
        <f>D702</f>
        <v>7</v>
      </c>
    </row>
    <row r="702" spans="1:4" s="17" customFormat="1" ht="12.75">
      <c r="A702" s="252" t="s">
        <v>217</v>
      </c>
      <c r="B702" s="254" t="s">
        <v>52</v>
      </c>
      <c r="C702" s="251" t="s">
        <v>215</v>
      </c>
      <c r="D702" s="51">
        <v>7</v>
      </c>
    </row>
    <row r="703" spans="1:4" s="17" customFormat="1" ht="12.75">
      <c r="A703" s="310" t="s">
        <v>141</v>
      </c>
      <c r="B703" s="305" t="s">
        <v>53</v>
      </c>
      <c r="C703" s="251"/>
      <c r="D703" s="51">
        <f>D704+D706</f>
        <v>369.4</v>
      </c>
    </row>
    <row r="704" spans="1:4" s="17" customFormat="1" ht="24">
      <c r="A704" s="252" t="s">
        <v>139</v>
      </c>
      <c r="B704" s="305" t="s">
        <v>53</v>
      </c>
      <c r="C704" s="251" t="s">
        <v>228</v>
      </c>
      <c r="D704" s="51">
        <f>D705</f>
        <v>264.4</v>
      </c>
    </row>
    <row r="705" spans="1:4" s="17" customFormat="1" ht="12.75">
      <c r="A705" s="169" t="s">
        <v>223</v>
      </c>
      <c r="B705" s="305" t="s">
        <v>53</v>
      </c>
      <c r="C705" s="251" t="s">
        <v>224</v>
      </c>
      <c r="D705" s="51">
        <v>264.4</v>
      </c>
    </row>
    <row r="706" spans="1:4" s="17" customFormat="1" ht="12.75">
      <c r="A706" s="252" t="s">
        <v>264</v>
      </c>
      <c r="B706" s="305" t="s">
        <v>53</v>
      </c>
      <c r="C706" s="251" t="s">
        <v>216</v>
      </c>
      <c r="D706" s="51">
        <f>D707</f>
        <v>105</v>
      </c>
    </row>
    <row r="707" spans="1:4" s="17" customFormat="1" ht="12.75">
      <c r="A707" s="252" t="s">
        <v>217</v>
      </c>
      <c r="B707" s="305" t="s">
        <v>53</v>
      </c>
      <c r="C707" s="251" t="s">
        <v>215</v>
      </c>
      <c r="D707" s="51">
        <v>105</v>
      </c>
    </row>
    <row r="708" spans="1:4" s="17" customFormat="1" ht="24">
      <c r="A708" s="247" t="s">
        <v>501</v>
      </c>
      <c r="B708" s="309" t="s">
        <v>314</v>
      </c>
      <c r="C708" s="249"/>
      <c r="D708" s="50">
        <f>D709</f>
        <v>12306</v>
      </c>
    </row>
    <row r="709" spans="1:4" s="17" customFormat="1" ht="12.75">
      <c r="A709" s="170" t="s">
        <v>138</v>
      </c>
      <c r="B709" s="305" t="s">
        <v>315</v>
      </c>
      <c r="C709" s="251"/>
      <c r="D709" s="51">
        <f>D710+D712</f>
        <v>12306</v>
      </c>
    </row>
    <row r="710" spans="1:4" s="17" customFormat="1" ht="24">
      <c r="A710" s="252" t="s">
        <v>139</v>
      </c>
      <c r="B710" s="305" t="s">
        <v>315</v>
      </c>
      <c r="C710" s="251" t="s">
        <v>228</v>
      </c>
      <c r="D710" s="51">
        <f>D711</f>
        <v>11401.2</v>
      </c>
    </row>
    <row r="711" spans="1:4" s="17" customFormat="1" ht="12.75">
      <c r="A711" s="169" t="s">
        <v>223</v>
      </c>
      <c r="B711" s="305" t="s">
        <v>315</v>
      </c>
      <c r="C711" s="251" t="s">
        <v>224</v>
      </c>
      <c r="D711" s="51">
        <f>12391.2+130-860.1-259.9</f>
        <v>11401.2</v>
      </c>
    </row>
    <row r="712" spans="1:4" s="17" customFormat="1" ht="12.75">
      <c r="A712" s="252" t="s">
        <v>264</v>
      </c>
      <c r="B712" s="305" t="s">
        <v>315</v>
      </c>
      <c r="C712" s="251" t="s">
        <v>216</v>
      </c>
      <c r="D712" s="51">
        <f>D713</f>
        <v>904.8</v>
      </c>
    </row>
    <row r="713" spans="1:4" s="17" customFormat="1" ht="12.75">
      <c r="A713" s="252" t="s">
        <v>217</v>
      </c>
      <c r="B713" s="305" t="s">
        <v>315</v>
      </c>
      <c r="C713" s="251" t="s">
        <v>215</v>
      </c>
      <c r="D713" s="51">
        <v>904.8</v>
      </c>
    </row>
    <row r="714" spans="1:4" s="13" customFormat="1" ht="15.75">
      <c r="A714" s="279" t="s">
        <v>453</v>
      </c>
      <c r="B714" s="248" t="s">
        <v>452</v>
      </c>
      <c r="C714" s="286"/>
      <c r="D714" s="50">
        <f>D715</f>
        <v>210</v>
      </c>
    </row>
    <row r="715" spans="1:4" s="13" customFormat="1" ht="15.75">
      <c r="A715" s="253" t="s">
        <v>111</v>
      </c>
      <c r="B715" s="250" t="s">
        <v>457</v>
      </c>
      <c r="C715" s="277"/>
      <c r="D715" s="324">
        <f>D716+D718</f>
        <v>210</v>
      </c>
    </row>
    <row r="716" spans="1:4" s="13" customFormat="1" ht="15.75">
      <c r="A716" s="252" t="s">
        <v>264</v>
      </c>
      <c r="B716" s="250" t="s">
        <v>457</v>
      </c>
      <c r="C716" s="58">
        <v>200</v>
      </c>
      <c r="D716" s="321">
        <f>D717</f>
        <v>10</v>
      </c>
    </row>
    <row r="717" spans="1:4" s="13" customFormat="1" ht="15.75">
      <c r="A717" s="252" t="s">
        <v>217</v>
      </c>
      <c r="B717" s="250" t="s">
        <v>457</v>
      </c>
      <c r="C717" s="58">
        <v>240</v>
      </c>
      <c r="D717" s="321">
        <v>10</v>
      </c>
    </row>
    <row r="718" spans="1:4" s="13" customFormat="1" ht="15.75">
      <c r="A718" s="252" t="s">
        <v>102</v>
      </c>
      <c r="B718" s="250" t="s">
        <v>457</v>
      </c>
      <c r="C718" s="58">
        <v>300</v>
      </c>
      <c r="D718" s="321">
        <f>D719</f>
        <v>200</v>
      </c>
    </row>
    <row r="719" spans="1:4" s="13" customFormat="1" ht="15.75">
      <c r="A719" s="252" t="s">
        <v>578</v>
      </c>
      <c r="B719" s="250" t="s">
        <v>457</v>
      </c>
      <c r="C719" s="58">
        <v>310</v>
      </c>
      <c r="D719" s="321">
        <v>200</v>
      </c>
    </row>
    <row r="720" spans="1:4" s="13" customFormat="1" ht="24.75">
      <c r="A720" s="247" t="s">
        <v>585</v>
      </c>
      <c r="B720" s="309" t="s">
        <v>478</v>
      </c>
      <c r="C720" s="249"/>
      <c r="D720" s="50">
        <f>D721</f>
        <v>7121.3</v>
      </c>
    </row>
    <row r="721" spans="1:4" s="13" customFormat="1" ht="15.75">
      <c r="A721" s="170" t="s">
        <v>138</v>
      </c>
      <c r="B721" s="305" t="s">
        <v>479</v>
      </c>
      <c r="C721" s="251"/>
      <c r="D721" s="51">
        <f>D722+D724</f>
        <v>7121.3</v>
      </c>
    </row>
    <row r="722" spans="1:4" s="13" customFormat="1" ht="24">
      <c r="A722" s="252" t="s">
        <v>139</v>
      </c>
      <c r="B722" s="305" t="s">
        <v>479</v>
      </c>
      <c r="C722" s="251" t="s">
        <v>228</v>
      </c>
      <c r="D722" s="51">
        <f>D723</f>
        <v>6900</v>
      </c>
    </row>
    <row r="723" spans="1:4" s="13" customFormat="1" ht="15.75">
      <c r="A723" s="169" t="s">
        <v>223</v>
      </c>
      <c r="B723" s="305" t="s">
        <v>479</v>
      </c>
      <c r="C723" s="251" t="s">
        <v>224</v>
      </c>
      <c r="D723" s="51">
        <f>5908.3+130+676.8+184.9</f>
        <v>6900</v>
      </c>
    </row>
    <row r="724" spans="1:4" s="13" customFormat="1" ht="15.75">
      <c r="A724" s="252" t="s">
        <v>264</v>
      </c>
      <c r="B724" s="305" t="s">
        <v>479</v>
      </c>
      <c r="C724" s="251" t="s">
        <v>216</v>
      </c>
      <c r="D724" s="51">
        <f>D725</f>
        <v>221.3</v>
      </c>
    </row>
    <row r="725" spans="1:4" s="13" customFormat="1" ht="15.75">
      <c r="A725" s="252" t="s">
        <v>217</v>
      </c>
      <c r="B725" s="305" t="s">
        <v>479</v>
      </c>
      <c r="C725" s="251" t="s">
        <v>215</v>
      </c>
      <c r="D725" s="51">
        <v>221.3</v>
      </c>
    </row>
    <row r="726" spans="1:4" s="13" customFormat="1" ht="24.75">
      <c r="A726" s="247" t="s">
        <v>402</v>
      </c>
      <c r="B726" s="248" t="s">
        <v>403</v>
      </c>
      <c r="C726" s="302"/>
      <c r="D726" s="320">
        <f>D727+D732+D737</f>
        <v>90284.3</v>
      </c>
    </row>
    <row r="727" spans="1:4" s="13" customFormat="1" ht="48.75">
      <c r="A727" s="170" t="s">
        <v>406</v>
      </c>
      <c r="B727" s="250" t="s">
        <v>404</v>
      </c>
      <c r="C727" s="311"/>
      <c r="D727" s="321">
        <f>D728+D730</f>
        <v>88478.3</v>
      </c>
    </row>
    <row r="728" spans="1:9" s="13" customFormat="1" ht="15.75">
      <c r="A728" s="253" t="s">
        <v>107</v>
      </c>
      <c r="B728" s="250" t="s">
        <v>404</v>
      </c>
      <c r="C728" s="251" t="s">
        <v>100</v>
      </c>
      <c r="D728" s="321">
        <f>D729</f>
        <v>278.3</v>
      </c>
      <c r="I728" s="17"/>
    </row>
    <row r="729" spans="1:4" s="13" customFormat="1" ht="15.75">
      <c r="A729" s="284" t="s">
        <v>242</v>
      </c>
      <c r="B729" s="250" t="s">
        <v>404</v>
      </c>
      <c r="C729" s="251" t="s">
        <v>243</v>
      </c>
      <c r="D729" s="323">
        <v>278.3</v>
      </c>
    </row>
    <row r="730" spans="1:4" s="13" customFormat="1" ht="15.75">
      <c r="A730" s="252" t="s">
        <v>102</v>
      </c>
      <c r="B730" s="250" t="s">
        <v>404</v>
      </c>
      <c r="C730" s="251" t="s">
        <v>98</v>
      </c>
      <c r="D730" s="321">
        <f>D731</f>
        <v>88200</v>
      </c>
    </row>
    <row r="731" spans="1:9" s="13" customFormat="1" ht="15.75">
      <c r="A731" s="284" t="s">
        <v>97</v>
      </c>
      <c r="B731" s="250" t="s">
        <v>404</v>
      </c>
      <c r="C731" s="251" t="s">
        <v>99</v>
      </c>
      <c r="D731" s="323">
        <v>88200</v>
      </c>
      <c r="I731" s="17"/>
    </row>
    <row r="732" spans="1:4" s="13" customFormat="1" ht="36.75">
      <c r="A732" s="170" t="s">
        <v>407</v>
      </c>
      <c r="B732" s="250" t="s">
        <v>405</v>
      </c>
      <c r="C732" s="311"/>
      <c r="D732" s="321">
        <f>D733+D735</f>
        <v>1805.4</v>
      </c>
    </row>
    <row r="733" spans="1:4" s="13" customFormat="1" ht="15.75">
      <c r="A733" s="253" t="s">
        <v>107</v>
      </c>
      <c r="B733" s="250" t="s">
        <v>405</v>
      </c>
      <c r="C733" s="251" t="s">
        <v>100</v>
      </c>
      <c r="D733" s="321">
        <f>D734</f>
        <v>5.4</v>
      </c>
    </row>
    <row r="734" spans="1:4" s="13" customFormat="1" ht="15.75">
      <c r="A734" s="284" t="s">
        <v>242</v>
      </c>
      <c r="B734" s="250" t="s">
        <v>405</v>
      </c>
      <c r="C734" s="251" t="s">
        <v>243</v>
      </c>
      <c r="D734" s="323">
        <v>5.4</v>
      </c>
    </row>
    <row r="735" spans="1:4" s="13" customFormat="1" ht="15.75">
      <c r="A735" s="252" t="s">
        <v>102</v>
      </c>
      <c r="B735" s="250" t="s">
        <v>405</v>
      </c>
      <c r="C735" s="251" t="s">
        <v>98</v>
      </c>
      <c r="D735" s="321">
        <f>D736</f>
        <v>1800</v>
      </c>
    </row>
    <row r="736" spans="1:4" s="13" customFormat="1" ht="15.75">
      <c r="A736" s="284" t="s">
        <v>97</v>
      </c>
      <c r="B736" s="250" t="s">
        <v>405</v>
      </c>
      <c r="C736" s="251" t="s">
        <v>99</v>
      </c>
      <c r="D736" s="323">
        <v>1800</v>
      </c>
    </row>
    <row r="737" spans="1:4" s="13" customFormat="1" ht="36">
      <c r="A737" s="273" t="s">
        <v>640</v>
      </c>
      <c r="B737" s="292" t="s">
        <v>639</v>
      </c>
      <c r="C737" s="311"/>
      <c r="D737" s="321">
        <f>D738</f>
        <v>0.6</v>
      </c>
    </row>
    <row r="738" spans="1:4" s="13" customFormat="1" ht="15.75">
      <c r="A738" s="253" t="s">
        <v>107</v>
      </c>
      <c r="B738" s="292" t="s">
        <v>639</v>
      </c>
      <c r="C738" s="251" t="s">
        <v>100</v>
      </c>
      <c r="D738" s="321">
        <f>D739</f>
        <v>0.6</v>
      </c>
    </row>
    <row r="739" spans="1:4" s="13" customFormat="1" ht="15.75">
      <c r="A739" s="284" t="s">
        <v>242</v>
      </c>
      <c r="B739" s="292" t="s">
        <v>639</v>
      </c>
      <c r="C739" s="251" t="s">
        <v>243</v>
      </c>
      <c r="D739" s="323">
        <v>0.6</v>
      </c>
    </row>
    <row r="740" spans="1:4" s="13" customFormat="1" ht="15.75">
      <c r="A740" s="247" t="s">
        <v>480</v>
      </c>
      <c r="B740" s="248" t="s">
        <v>74</v>
      </c>
      <c r="C740" s="302"/>
      <c r="D740" s="320">
        <f>D741+D745</f>
        <v>2550.5</v>
      </c>
    </row>
    <row r="741" spans="1:4" s="13" customFormat="1" ht="15.75">
      <c r="A741" s="170" t="s">
        <v>492</v>
      </c>
      <c r="B741" s="250" t="s">
        <v>75</v>
      </c>
      <c r="C741" s="311"/>
      <c r="D741" s="321">
        <f>D742</f>
        <v>1242.5</v>
      </c>
    </row>
    <row r="742" spans="1:4" s="13" customFormat="1" ht="15.75">
      <c r="A742" s="253" t="s">
        <v>123</v>
      </c>
      <c r="B742" s="250" t="s">
        <v>76</v>
      </c>
      <c r="C742" s="311"/>
      <c r="D742" s="321">
        <f>D743</f>
        <v>1242.5</v>
      </c>
    </row>
    <row r="743" spans="1:4" s="13" customFormat="1" ht="24">
      <c r="A743" s="252" t="s">
        <v>139</v>
      </c>
      <c r="B743" s="250" t="s">
        <v>76</v>
      </c>
      <c r="C743" s="251" t="s">
        <v>228</v>
      </c>
      <c r="D743" s="321">
        <f>D744</f>
        <v>1242.5</v>
      </c>
    </row>
    <row r="744" spans="1:4" s="13" customFormat="1" ht="15.75">
      <c r="A744" s="169" t="s">
        <v>223</v>
      </c>
      <c r="B744" s="250" t="s">
        <v>76</v>
      </c>
      <c r="C744" s="251" t="s">
        <v>224</v>
      </c>
      <c r="D744" s="323">
        <f>1139+103.5</f>
        <v>1242.5</v>
      </c>
    </row>
    <row r="745" spans="1:4" s="13" customFormat="1" ht="15.75">
      <c r="A745" s="88" t="s">
        <v>415</v>
      </c>
      <c r="B745" s="250" t="s">
        <v>77</v>
      </c>
      <c r="C745" s="251"/>
      <c r="D745" s="323">
        <f>D746</f>
        <v>1308</v>
      </c>
    </row>
    <row r="746" spans="1:4" s="13" customFormat="1" ht="15.75">
      <c r="A746" s="253" t="s">
        <v>123</v>
      </c>
      <c r="B746" s="250" t="s">
        <v>78</v>
      </c>
      <c r="C746" s="311"/>
      <c r="D746" s="321">
        <f>D747+D749</f>
        <v>1308</v>
      </c>
    </row>
    <row r="747" spans="1:4" s="13" customFormat="1" ht="24">
      <c r="A747" s="252" t="s">
        <v>139</v>
      </c>
      <c r="B747" s="250" t="s">
        <v>78</v>
      </c>
      <c r="C747" s="251" t="s">
        <v>228</v>
      </c>
      <c r="D747" s="321">
        <f>D748</f>
        <v>1078</v>
      </c>
    </row>
    <row r="748" spans="1:4" s="13" customFormat="1" ht="15.75">
      <c r="A748" s="169" t="s">
        <v>223</v>
      </c>
      <c r="B748" s="250" t="s">
        <v>78</v>
      </c>
      <c r="C748" s="251" t="s">
        <v>224</v>
      </c>
      <c r="D748" s="323">
        <v>1078</v>
      </c>
    </row>
    <row r="749" spans="1:4" s="13" customFormat="1" ht="15.75">
      <c r="A749" s="252" t="s">
        <v>264</v>
      </c>
      <c r="B749" s="250" t="s">
        <v>78</v>
      </c>
      <c r="C749" s="251" t="s">
        <v>216</v>
      </c>
      <c r="D749" s="51">
        <f>D750</f>
        <v>230</v>
      </c>
    </row>
    <row r="750" spans="1:4" s="13" customFormat="1" ht="15.75">
      <c r="A750" s="252" t="s">
        <v>217</v>
      </c>
      <c r="B750" s="250" t="s">
        <v>78</v>
      </c>
      <c r="C750" s="251" t="s">
        <v>215</v>
      </c>
      <c r="D750" s="51">
        <v>230</v>
      </c>
    </row>
    <row r="751" spans="1:4" s="13" customFormat="1" ht="15.75">
      <c r="A751" s="285" t="s">
        <v>623</v>
      </c>
      <c r="B751" s="312" t="s">
        <v>624</v>
      </c>
      <c r="C751" s="249"/>
      <c r="D751" s="50">
        <f>D752</f>
        <v>3970</v>
      </c>
    </row>
    <row r="752" spans="1:4" s="13" customFormat="1" ht="15.75">
      <c r="A752" s="313" t="s">
        <v>625</v>
      </c>
      <c r="B752" s="314" t="s">
        <v>626</v>
      </c>
      <c r="C752" s="260"/>
      <c r="D752" s="50">
        <f>D754+D756</f>
        <v>3970</v>
      </c>
    </row>
    <row r="753" spans="1:4" s="13" customFormat="1" ht="15.75">
      <c r="A753" s="315" t="s">
        <v>627</v>
      </c>
      <c r="B753" s="268" t="s">
        <v>628</v>
      </c>
      <c r="C753" s="260"/>
      <c r="D753" s="51">
        <f>D754</f>
        <v>470</v>
      </c>
    </row>
    <row r="754" spans="1:4" s="13" customFormat="1" ht="15.75">
      <c r="A754" s="315" t="s">
        <v>107</v>
      </c>
      <c r="B754" s="268" t="s">
        <v>628</v>
      </c>
      <c r="C754" s="260" t="s">
        <v>100</v>
      </c>
      <c r="D754" s="51">
        <f>D755</f>
        <v>470</v>
      </c>
    </row>
    <row r="755" spans="1:4" s="13" customFormat="1" ht="15.75">
      <c r="A755" s="316" t="s">
        <v>629</v>
      </c>
      <c r="B755" s="268" t="s">
        <v>628</v>
      </c>
      <c r="C755" s="260" t="s">
        <v>630</v>
      </c>
      <c r="D755" s="51">
        <v>470</v>
      </c>
    </row>
    <row r="756" spans="1:4" s="13" customFormat="1" ht="24">
      <c r="A756" s="315" t="s">
        <v>652</v>
      </c>
      <c r="B756" s="268" t="s">
        <v>628</v>
      </c>
      <c r="C756" s="260"/>
      <c r="D756" s="51">
        <f>D757</f>
        <v>3500</v>
      </c>
    </row>
    <row r="757" spans="1:4" s="13" customFormat="1" ht="15.75">
      <c r="A757" s="315" t="s">
        <v>107</v>
      </c>
      <c r="B757" s="268" t="s">
        <v>628</v>
      </c>
      <c r="C757" s="260" t="s">
        <v>100</v>
      </c>
      <c r="D757" s="51">
        <f>D758</f>
        <v>3500</v>
      </c>
    </row>
    <row r="758" spans="1:4" s="13" customFormat="1" ht="15.75">
      <c r="A758" s="316" t="s">
        <v>629</v>
      </c>
      <c r="B758" s="268" t="s">
        <v>628</v>
      </c>
      <c r="C758" s="260" t="s">
        <v>630</v>
      </c>
      <c r="D758" s="51">
        <v>3500</v>
      </c>
    </row>
    <row r="759" spans="1:9" s="13" customFormat="1" ht="24">
      <c r="A759" s="285" t="s">
        <v>498</v>
      </c>
      <c r="B759" s="248" t="s">
        <v>80</v>
      </c>
      <c r="C759" s="302"/>
      <c r="D759" s="320">
        <f>D760+D764</f>
        <v>2441</v>
      </c>
      <c r="I759" s="13" t="s">
        <v>593</v>
      </c>
    </row>
    <row r="760" spans="1:4" s="13" customFormat="1" ht="15.75">
      <c r="A760" s="253" t="s">
        <v>499</v>
      </c>
      <c r="B760" s="250" t="s">
        <v>81</v>
      </c>
      <c r="C760" s="311"/>
      <c r="D760" s="321">
        <f>D761</f>
        <v>1354</v>
      </c>
    </row>
    <row r="761" spans="1:4" s="13" customFormat="1" ht="15.75">
      <c r="A761" s="253" t="s">
        <v>123</v>
      </c>
      <c r="B761" s="250" t="s">
        <v>82</v>
      </c>
      <c r="C761" s="311"/>
      <c r="D761" s="321">
        <f>D762</f>
        <v>1354</v>
      </c>
    </row>
    <row r="762" spans="1:4" s="13" customFormat="1" ht="24">
      <c r="A762" s="252" t="s">
        <v>139</v>
      </c>
      <c r="B762" s="250" t="s">
        <v>82</v>
      </c>
      <c r="C762" s="251" t="s">
        <v>228</v>
      </c>
      <c r="D762" s="321">
        <f>D763</f>
        <v>1354</v>
      </c>
    </row>
    <row r="763" spans="1:4" s="13" customFormat="1" ht="15.75">
      <c r="A763" s="169" t="s">
        <v>223</v>
      </c>
      <c r="B763" s="250" t="s">
        <v>82</v>
      </c>
      <c r="C763" s="251" t="s">
        <v>224</v>
      </c>
      <c r="D763" s="323">
        <f>1114.7+176.3+63</f>
        <v>1354</v>
      </c>
    </row>
    <row r="764" spans="1:4" s="13" customFormat="1" ht="15.75">
      <c r="A764" s="88" t="s">
        <v>500</v>
      </c>
      <c r="B764" s="250" t="s">
        <v>83</v>
      </c>
      <c r="C764" s="251"/>
      <c r="D764" s="323">
        <f>D765+D770</f>
        <v>1087</v>
      </c>
    </row>
    <row r="765" spans="1:4" s="13" customFormat="1" ht="15.75">
      <c r="A765" s="253" t="s">
        <v>123</v>
      </c>
      <c r="B765" s="250" t="s">
        <v>84</v>
      </c>
      <c r="C765" s="311"/>
      <c r="D765" s="321">
        <f>D766+D768</f>
        <v>170.39999999999998</v>
      </c>
    </row>
    <row r="766" spans="1:4" s="13" customFormat="1" ht="24">
      <c r="A766" s="252" t="s">
        <v>139</v>
      </c>
      <c r="B766" s="250" t="s">
        <v>84</v>
      </c>
      <c r="C766" s="251" t="s">
        <v>228</v>
      </c>
      <c r="D766" s="321">
        <f>D767</f>
        <v>84.8</v>
      </c>
    </row>
    <row r="767" spans="1:4" s="13" customFormat="1" ht="15.75">
      <c r="A767" s="169" t="s">
        <v>223</v>
      </c>
      <c r="B767" s="250" t="s">
        <v>84</v>
      </c>
      <c r="C767" s="251" t="s">
        <v>224</v>
      </c>
      <c r="D767" s="323">
        <v>84.8</v>
      </c>
    </row>
    <row r="768" spans="1:4" s="13" customFormat="1" ht="15.75">
      <c r="A768" s="252" t="s">
        <v>264</v>
      </c>
      <c r="B768" s="250" t="s">
        <v>84</v>
      </c>
      <c r="C768" s="251" t="s">
        <v>216</v>
      </c>
      <c r="D768" s="51">
        <f>D769</f>
        <v>85.6</v>
      </c>
    </row>
    <row r="769" spans="1:4" s="13" customFormat="1" ht="15.75">
      <c r="A769" s="252" t="s">
        <v>217</v>
      </c>
      <c r="B769" s="250" t="s">
        <v>84</v>
      </c>
      <c r="C769" s="251" t="s">
        <v>215</v>
      </c>
      <c r="D769" s="51">
        <v>85.6</v>
      </c>
    </row>
    <row r="770" spans="1:4" s="13" customFormat="1" ht="15.75">
      <c r="A770" s="253" t="s">
        <v>124</v>
      </c>
      <c r="B770" s="250" t="s">
        <v>85</v>
      </c>
      <c r="C770" s="311"/>
      <c r="D770" s="321">
        <f>D771</f>
        <v>916.6</v>
      </c>
    </row>
    <row r="771" spans="1:4" s="13" customFormat="1" ht="24">
      <c r="A771" s="252" t="s">
        <v>139</v>
      </c>
      <c r="B771" s="250" t="s">
        <v>85</v>
      </c>
      <c r="C771" s="251" t="s">
        <v>228</v>
      </c>
      <c r="D771" s="321">
        <f>D772</f>
        <v>916.6</v>
      </c>
    </row>
    <row r="772" spans="1:4" s="13" customFormat="1" ht="15.75">
      <c r="A772" s="169" t="s">
        <v>223</v>
      </c>
      <c r="B772" s="250" t="s">
        <v>85</v>
      </c>
      <c r="C772" s="251" t="s">
        <v>224</v>
      </c>
      <c r="D772" s="323">
        <v>916.6</v>
      </c>
    </row>
    <row r="773" spans="1:4" s="13" customFormat="1" ht="15.75">
      <c r="A773" s="247" t="s">
        <v>26</v>
      </c>
      <c r="B773" s="248" t="s">
        <v>27</v>
      </c>
      <c r="C773" s="286"/>
      <c r="D773" s="50">
        <f>D774</f>
        <v>1065.7</v>
      </c>
    </row>
    <row r="774" spans="1:4" s="13" customFormat="1" ht="15.75">
      <c r="A774" s="170" t="s">
        <v>26</v>
      </c>
      <c r="B774" s="250" t="s">
        <v>247</v>
      </c>
      <c r="C774" s="251"/>
      <c r="D774" s="51">
        <f>D775+D777</f>
        <v>1065.7</v>
      </c>
    </row>
    <row r="775" spans="1:4" s="13" customFormat="1" ht="15.75">
      <c r="A775" s="252" t="s">
        <v>264</v>
      </c>
      <c r="B775" s="250" t="s">
        <v>247</v>
      </c>
      <c r="C775" s="251" t="s">
        <v>216</v>
      </c>
      <c r="D775" s="51">
        <f>SUM(D776)</f>
        <v>15.7</v>
      </c>
    </row>
    <row r="776" spans="1:4" s="13" customFormat="1" ht="15.75">
      <c r="A776" s="252" t="s">
        <v>217</v>
      </c>
      <c r="B776" s="250" t="s">
        <v>247</v>
      </c>
      <c r="C776" s="251" t="s">
        <v>215</v>
      </c>
      <c r="D776" s="51">
        <v>15.7</v>
      </c>
    </row>
    <row r="777" spans="1:4" s="13" customFormat="1" ht="15.75">
      <c r="A777" s="253" t="s">
        <v>102</v>
      </c>
      <c r="B777" s="250" t="s">
        <v>247</v>
      </c>
      <c r="C777" s="251" t="s">
        <v>98</v>
      </c>
      <c r="D777" s="51">
        <f>SUM(D778)</f>
        <v>1050</v>
      </c>
    </row>
    <row r="778" spans="1:4" s="13" customFormat="1" ht="15.75">
      <c r="A778" s="253" t="s">
        <v>578</v>
      </c>
      <c r="B778" s="250" t="s">
        <v>247</v>
      </c>
      <c r="C778" s="251" t="s">
        <v>577</v>
      </c>
      <c r="D778" s="51">
        <v>1050</v>
      </c>
    </row>
    <row r="779" spans="1:4" s="13" customFormat="1" ht="15.75">
      <c r="A779" s="285" t="s">
        <v>187</v>
      </c>
      <c r="B779" s="309" t="s">
        <v>70</v>
      </c>
      <c r="C779" s="249"/>
      <c r="D779" s="50">
        <f>D780</f>
        <v>256.7</v>
      </c>
    </row>
    <row r="780" spans="1:4" s="13" customFormat="1" ht="15.75">
      <c r="A780" s="253" t="s">
        <v>490</v>
      </c>
      <c r="B780" s="250" t="s">
        <v>71</v>
      </c>
      <c r="C780" s="306"/>
      <c r="D780" s="51">
        <f>D781</f>
        <v>256.7</v>
      </c>
    </row>
    <row r="781" spans="1:4" s="13" customFormat="1" ht="15.75">
      <c r="A781" s="253" t="s">
        <v>107</v>
      </c>
      <c r="B781" s="250" t="s">
        <v>71</v>
      </c>
      <c r="C781" s="306">
        <v>800</v>
      </c>
      <c r="D781" s="51">
        <f>D782</f>
        <v>256.7</v>
      </c>
    </row>
    <row r="782" spans="1:4" s="19" customFormat="1" ht="15.75">
      <c r="A782" s="253" t="s">
        <v>108</v>
      </c>
      <c r="B782" s="250" t="s">
        <v>71</v>
      </c>
      <c r="C782" s="306">
        <v>870</v>
      </c>
      <c r="D782" s="51">
        <v>256.7</v>
      </c>
    </row>
    <row r="783" spans="1:4" s="13" customFormat="1" ht="15.75">
      <c r="A783" s="285" t="s">
        <v>349</v>
      </c>
      <c r="B783" s="309" t="s">
        <v>348</v>
      </c>
      <c r="C783" s="249"/>
      <c r="D783" s="50">
        <f>D784+D788</f>
        <v>3298.5</v>
      </c>
    </row>
    <row r="784" spans="1:4" s="13" customFormat="1" ht="15.75">
      <c r="A784" s="253" t="s">
        <v>288</v>
      </c>
      <c r="B784" s="259" t="s">
        <v>350</v>
      </c>
      <c r="C784" s="306"/>
      <c r="D784" s="51">
        <f>D785</f>
        <v>3138.5</v>
      </c>
    </row>
    <row r="785" spans="1:4" s="13" customFormat="1" ht="15.75">
      <c r="A785" s="263" t="s">
        <v>107</v>
      </c>
      <c r="B785" s="259" t="s">
        <v>350</v>
      </c>
      <c r="C785" s="306">
        <v>800</v>
      </c>
      <c r="D785" s="51">
        <f>D786+D787</f>
        <v>3138.5</v>
      </c>
    </row>
    <row r="786" spans="1:4" s="13" customFormat="1" ht="15.75">
      <c r="A786" s="263" t="s">
        <v>351</v>
      </c>
      <c r="B786" s="259" t="s">
        <v>350</v>
      </c>
      <c r="C786" s="306">
        <v>830</v>
      </c>
      <c r="D786" s="51">
        <v>120</v>
      </c>
    </row>
    <row r="787" spans="1:4" s="13" customFormat="1" ht="15.75">
      <c r="A787" s="284" t="s">
        <v>242</v>
      </c>
      <c r="B787" s="259" t="s">
        <v>350</v>
      </c>
      <c r="C787" s="306">
        <v>850</v>
      </c>
      <c r="D787" s="51">
        <v>3018.5</v>
      </c>
    </row>
    <row r="788" spans="1:4" s="13" customFormat="1" ht="15.75">
      <c r="A788" s="253" t="s">
        <v>490</v>
      </c>
      <c r="B788" s="250" t="s">
        <v>681</v>
      </c>
      <c r="C788" s="306"/>
      <c r="D788" s="51">
        <f>D789</f>
        <v>160</v>
      </c>
    </row>
    <row r="789" spans="1:4" s="13" customFormat="1" ht="15.75">
      <c r="A789" s="252" t="s">
        <v>264</v>
      </c>
      <c r="B789" s="250" t="s">
        <v>681</v>
      </c>
      <c r="C789" s="306">
        <v>200</v>
      </c>
      <c r="D789" s="51">
        <f>D790</f>
        <v>160</v>
      </c>
    </row>
    <row r="790" spans="1:4" s="13" customFormat="1" ht="15.75">
      <c r="A790" s="252" t="s">
        <v>217</v>
      </c>
      <c r="B790" s="250" t="s">
        <v>681</v>
      </c>
      <c r="C790" s="306">
        <v>240</v>
      </c>
      <c r="D790" s="51">
        <v>160</v>
      </c>
    </row>
    <row r="791" spans="1:15" s="13" customFormat="1" ht="15.75">
      <c r="A791" s="317" t="s">
        <v>214</v>
      </c>
      <c r="B791" s="318"/>
      <c r="C791" s="319"/>
      <c r="D791" s="330">
        <f>D467+D15+D22+D209+D225+D230+D257+D264+D270+D286+D338+D349+D484+D493+D503+D508+D535+D549+D584+D626+D662+D740+D759+D773+D779+D643+D247+D708+D783+D726+D614+D714+D545+D720+D282+D751</f>
        <v>1591752.1940000004</v>
      </c>
      <c r="O791" s="13" t="s">
        <v>593</v>
      </c>
    </row>
    <row r="792" spans="1:4" s="13" customFormat="1" ht="15.75">
      <c r="A792" s="65"/>
      <c r="B792" s="63"/>
      <c r="C792" s="63"/>
      <c r="D792" s="96"/>
    </row>
    <row r="793" spans="1:4" s="13" customFormat="1" ht="15.75">
      <c r="A793" s="65"/>
      <c r="B793" s="63"/>
      <c r="C793" s="63"/>
      <c r="D793" s="96"/>
    </row>
    <row r="794" spans="1:4" s="13" customFormat="1" ht="15.75">
      <c r="A794" s="65"/>
      <c r="B794" s="63"/>
      <c r="C794" s="63"/>
      <c r="D794" s="96"/>
    </row>
    <row r="795" spans="1:4" s="13" customFormat="1" ht="15.75">
      <c r="A795" s="65"/>
      <c r="B795" s="63"/>
      <c r="C795" s="63"/>
      <c r="D795" s="96"/>
    </row>
    <row r="796" spans="1:4" s="13" customFormat="1" ht="15.75">
      <c r="A796" s="65"/>
      <c r="B796" s="63"/>
      <c r="C796" s="63"/>
      <c r="D796" s="96"/>
    </row>
    <row r="797" spans="1:4" s="13" customFormat="1" ht="15.75">
      <c r="A797" s="65"/>
      <c r="B797" s="63"/>
      <c r="C797" s="63"/>
      <c r="D797" s="96"/>
    </row>
    <row r="798" spans="1:4" s="13" customFormat="1" ht="15.75">
      <c r="A798" s="65"/>
      <c r="B798" s="63"/>
      <c r="C798" s="63"/>
      <c r="D798" s="96"/>
    </row>
    <row r="799" spans="1:4" s="13" customFormat="1" ht="15.75">
      <c r="A799" s="65"/>
      <c r="B799" s="63"/>
      <c r="C799" s="63"/>
      <c r="D799" s="96"/>
    </row>
    <row r="800" spans="1:4" s="13" customFormat="1" ht="15.75">
      <c r="A800" s="65"/>
      <c r="B800" s="63"/>
      <c r="C800" s="63"/>
      <c r="D800" s="96"/>
    </row>
    <row r="801" spans="1:4" s="13" customFormat="1" ht="15.75">
      <c r="A801" s="65"/>
      <c r="B801" s="63"/>
      <c r="C801" s="63"/>
      <c r="D801" s="96"/>
    </row>
    <row r="802" spans="1:4" s="13" customFormat="1" ht="15.75">
      <c r="A802" s="65"/>
      <c r="B802" s="63"/>
      <c r="C802" s="63"/>
      <c r="D802" s="96"/>
    </row>
    <row r="803" spans="1:4" s="13" customFormat="1" ht="15.75">
      <c r="A803" s="65"/>
      <c r="B803" s="63"/>
      <c r="C803" s="63"/>
      <c r="D803" s="96"/>
    </row>
    <row r="804" spans="1:4" s="13" customFormat="1" ht="15.75">
      <c r="A804" s="65"/>
      <c r="B804" s="63"/>
      <c r="C804" s="63"/>
      <c r="D804" s="96"/>
    </row>
    <row r="805" spans="1:4" s="13" customFormat="1" ht="15.75">
      <c r="A805" s="65"/>
      <c r="B805" s="63"/>
      <c r="C805" s="63"/>
      <c r="D805" s="96"/>
    </row>
    <row r="806" spans="1:4" s="13" customFormat="1" ht="15.75">
      <c r="A806" s="65"/>
      <c r="B806" s="63"/>
      <c r="C806" s="63"/>
      <c r="D806" s="96"/>
    </row>
    <row r="807" spans="1:4" s="13" customFormat="1" ht="15.75">
      <c r="A807" s="65"/>
      <c r="B807" s="63"/>
      <c r="C807" s="63"/>
      <c r="D807" s="96"/>
    </row>
    <row r="808" spans="1:4" s="13" customFormat="1" ht="15.75">
      <c r="A808" s="65"/>
      <c r="B808" s="63"/>
      <c r="C808" s="63"/>
      <c r="D808" s="96"/>
    </row>
    <row r="809" spans="1:4" s="13" customFormat="1" ht="15.75">
      <c r="A809" s="65"/>
      <c r="B809" s="63"/>
      <c r="C809" s="63"/>
      <c r="D809" s="96"/>
    </row>
    <row r="810" spans="1:4" s="13" customFormat="1" ht="15.75">
      <c r="A810" s="65"/>
      <c r="B810" s="63"/>
      <c r="C810" s="63"/>
      <c r="D810" s="96"/>
    </row>
    <row r="811" spans="1:4" s="13" customFormat="1" ht="15.75">
      <c r="A811" s="65"/>
      <c r="B811" s="63"/>
      <c r="C811" s="63"/>
      <c r="D811" s="96"/>
    </row>
    <row r="812" spans="1:4" s="13" customFormat="1" ht="15.75">
      <c r="A812" s="65"/>
      <c r="B812" s="63"/>
      <c r="C812" s="63"/>
      <c r="D812" s="96"/>
    </row>
    <row r="813" spans="1:4" s="19" customFormat="1" ht="15.75">
      <c r="A813" s="65"/>
      <c r="B813" s="63"/>
      <c r="C813" s="63"/>
      <c r="D813" s="96"/>
    </row>
    <row r="814" spans="1:4" s="13" customFormat="1" ht="15.75">
      <c r="A814" s="65"/>
      <c r="B814" s="63"/>
      <c r="C814" s="63"/>
      <c r="D814" s="96"/>
    </row>
    <row r="815" spans="1:4" s="13" customFormat="1" ht="15.75">
      <c r="A815" s="65"/>
      <c r="B815" s="63"/>
      <c r="C815" s="63"/>
      <c r="D815" s="96"/>
    </row>
    <row r="816" spans="1:4" s="13" customFormat="1" ht="15.75">
      <c r="A816" s="65"/>
      <c r="B816" s="63"/>
      <c r="C816" s="63"/>
      <c r="D816" s="96"/>
    </row>
    <row r="817" spans="1:4" s="13" customFormat="1" ht="15.75">
      <c r="A817" s="65"/>
      <c r="B817" s="63"/>
      <c r="C817" s="63"/>
      <c r="D817" s="96"/>
    </row>
    <row r="818" spans="1:4" s="13" customFormat="1" ht="15.75">
      <c r="A818" s="65"/>
      <c r="B818" s="63"/>
      <c r="C818" s="63"/>
      <c r="D818" s="96"/>
    </row>
    <row r="819" spans="1:4" s="13" customFormat="1" ht="15.75">
      <c r="A819" s="65"/>
      <c r="B819" s="63"/>
      <c r="C819" s="63"/>
      <c r="D819" s="96"/>
    </row>
    <row r="820" spans="1:4" s="13" customFormat="1" ht="15.75">
      <c r="A820" s="65"/>
      <c r="B820" s="63"/>
      <c r="C820" s="63"/>
      <c r="D820" s="96"/>
    </row>
    <row r="821" spans="1:4" s="13" customFormat="1" ht="15.75">
      <c r="A821" s="65"/>
      <c r="B821" s="63"/>
      <c r="C821" s="63"/>
      <c r="D821" s="96"/>
    </row>
    <row r="822" spans="1:4" s="18" customFormat="1" ht="12.75">
      <c r="A822" s="65"/>
      <c r="B822" s="63"/>
      <c r="C822" s="63"/>
      <c r="D822" s="96"/>
    </row>
    <row r="823" spans="1:4" s="18" customFormat="1" ht="12.75">
      <c r="A823" s="65"/>
      <c r="B823" s="63"/>
      <c r="C823" s="63"/>
      <c r="D823" s="96"/>
    </row>
    <row r="824" spans="1:4" s="18" customFormat="1" ht="12.75">
      <c r="A824" s="65"/>
      <c r="B824" s="63"/>
      <c r="C824" s="63"/>
      <c r="D824" s="96"/>
    </row>
    <row r="825" spans="1:4" s="18" customFormat="1" ht="12.75">
      <c r="A825" s="65"/>
      <c r="B825" s="63"/>
      <c r="C825" s="63"/>
      <c r="D825" s="96"/>
    </row>
    <row r="826" spans="1:4" s="18" customFormat="1" ht="12.75">
      <c r="A826" s="65"/>
      <c r="B826" s="63"/>
      <c r="C826" s="63"/>
      <c r="D826" s="96"/>
    </row>
    <row r="827" spans="1:4" s="18" customFormat="1" ht="12.75">
      <c r="A827" s="65"/>
      <c r="B827" s="63"/>
      <c r="C827" s="63"/>
      <c r="D827" s="96"/>
    </row>
    <row r="828" spans="1:4" s="17" customFormat="1" ht="12.75">
      <c r="A828" s="65"/>
      <c r="B828" s="63"/>
      <c r="C828" s="63"/>
      <c r="D828" s="96"/>
    </row>
    <row r="829" spans="1:4" s="17" customFormat="1" ht="12.75">
      <c r="A829" s="65"/>
      <c r="B829" s="63"/>
      <c r="C829" s="63"/>
      <c r="D829" s="96"/>
    </row>
    <row r="830" spans="1:4" s="18" customFormat="1" ht="12.75">
      <c r="A830" s="65"/>
      <c r="B830" s="63"/>
      <c r="C830" s="63"/>
      <c r="D830" s="96"/>
    </row>
    <row r="831" spans="1:4" s="17" customFormat="1" ht="12.75">
      <c r="A831" s="65"/>
      <c r="B831" s="63"/>
      <c r="C831" s="63"/>
      <c r="D831" s="96"/>
    </row>
    <row r="832" spans="1:4" s="17" customFormat="1" ht="12.75">
      <c r="A832" s="65"/>
      <c r="B832" s="63"/>
      <c r="C832" s="63"/>
      <c r="D832" s="96"/>
    </row>
    <row r="833" spans="1:4" s="17" customFormat="1" ht="12.75">
      <c r="A833" s="65"/>
      <c r="B833" s="63"/>
      <c r="C833" s="63"/>
      <c r="D833" s="96"/>
    </row>
    <row r="834" spans="1:4" s="17" customFormat="1" ht="12.75">
      <c r="A834" s="65"/>
      <c r="B834" s="63"/>
      <c r="C834" s="63"/>
      <c r="D834" s="96"/>
    </row>
    <row r="835" spans="1:4" s="17" customFormat="1" ht="12.75">
      <c r="A835" s="65"/>
      <c r="B835" s="63"/>
      <c r="C835" s="63"/>
      <c r="D835" s="96"/>
    </row>
    <row r="836" spans="1:4" s="17" customFormat="1" ht="12.75">
      <c r="A836" s="65"/>
      <c r="B836" s="63"/>
      <c r="C836" s="63"/>
      <c r="D836" s="96"/>
    </row>
    <row r="837" spans="1:4" s="17" customFormat="1" ht="12.75">
      <c r="A837" s="65"/>
      <c r="B837" s="63"/>
      <c r="C837" s="63"/>
      <c r="D837" s="96"/>
    </row>
    <row r="838" spans="1:4" s="13" customFormat="1" ht="15.75">
      <c r="A838" s="65"/>
      <c r="B838" s="63"/>
      <c r="C838" s="63"/>
      <c r="D838" s="96"/>
    </row>
    <row r="839" spans="1:4" s="13" customFormat="1" ht="15.75">
      <c r="A839" s="65"/>
      <c r="B839" s="63"/>
      <c r="C839" s="63"/>
      <c r="D839" s="96"/>
    </row>
    <row r="840" spans="1:4" s="13" customFormat="1" ht="15.75">
      <c r="A840" s="65"/>
      <c r="B840" s="63"/>
      <c r="C840" s="63"/>
      <c r="D840" s="96"/>
    </row>
    <row r="841" spans="1:4" s="13" customFormat="1" ht="15.75">
      <c r="A841" s="65"/>
      <c r="B841" s="63"/>
      <c r="C841" s="63"/>
      <c r="D841" s="96"/>
    </row>
    <row r="842" spans="1:4" s="13" customFormat="1" ht="15.75">
      <c r="A842" s="65"/>
      <c r="B842" s="63"/>
      <c r="C842" s="63"/>
      <c r="D842" s="96"/>
    </row>
    <row r="843" spans="1:4" s="13" customFormat="1" ht="15.75">
      <c r="A843" s="65"/>
      <c r="B843" s="63"/>
      <c r="C843" s="63"/>
      <c r="D843" s="96"/>
    </row>
    <row r="844" spans="1:4" s="13" customFormat="1" ht="15.75">
      <c r="A844" s="65"/>
      <c r="B844" s="63"/>
      <c r="C844" s="63"/>
      <c r="D844" s="96"/>
    </row>
    <row r="845" spans="1:4" s="13" customFormat="1" ht="15.75">
      <c r="A845" s="65"/>
      <c r="B845" s="63"/>
      <c r="C845" s="63"/>
      <c r="D845" s="96"/>
    </row>
    <row r="846" spans="1:4" s="13" customFormat="1" ht="15.75">
      <c r="A846" s="65"/>
      <c r="B846" s="63"/>
      <c r="C846" s="63"/>
      <c r="D846" s="96"/>
    </row>
    <row r="847" spans="1:4" s="13" customFormat="1" ht="15.75">
      <c r="A847" s="65"/>
      <c r="B847" s="63"/>
      <c r="C847" s="63"/>
      <c r="D847" s="96"/>
    </row>
    <row r="848" spans="1:4" s="13" customFormat="1" ht="15.75">
      <c r="A848" s="65"/>
      <c r="B848" s="63"/>
      <c r="C848" s="63"/>
      <c r="D848" s="96"/>
    </row>
    <row r="849" spans="1:4" s="13" customFormat="1" ht="15.75">
      <c r="A849" s="65"/>
      <c r="B849" s="63"/>
      <c r="C849" s="63"/>
      <c r="D849" s="96"/>
    </row>
    <row r="850" spans="1:4" s="13" customFormat="1" ht="15.75">
      <c r="A850" s="65"/>
      <c r="B850" s="63"/>
      <c r="C850" s="63"/>
      <c r="D850" s="96"/>
    </row>
    <row r="851" spans="1:4" s="13" customFormat="1" ht="15.75">
      <c r="A851" s="65"/>
      <c r="B851" s="63"/>
      <c r="C851" s="63"/>
      <c r="D851" s="96"/>
    </row>
    <row r="852" spans="1:4" s="13" customFormat="1" ht="15.75">
      <c r="A852" s="65"/>
      <c r="B852" s="63"/>
      <c r="C852" s="63"/>
      <c r="D852" s="96"/>
    </row>
    <row r="853" spans="1:4" s="13" customFormat="1" ht="15.75">
      <c r="A853" s="65"/>
      <c r="B853" s="63"/>
      <c r="C853" s="63"/>
      <c r="D853" s="96"/>
    </row>
    <row r="854" spans="1:4" s="13" customFormat="1" ht="15.75">
      <c r="A854" s="65"/>
      <c r="B854" s="63"/>
      <c r="C854" s="63"/>
      <c r="D854" s="96"/>
    </row>
    <row r="855" spans="1:4" s="13" customFormat="1" ht="15.75">
      <c r="A855" s="65"/>
      <c r="B855" s="63"/>
      <c r="C855" s="63"/>
      <c r="D855" s="96"/>
    </row>
    <row r="856" spans="1:4" s="13" customFormat="1" ht="15.75">
      <c r="A856" s="65"/>
      <c r="B856" s="63"/>
      <c r="C856" s="63"/>
      <c r="D856" s="96"/>
    </row>
    <row r="857" spans="1:4" s="13" customFormat="1" ht="15.75">
      <c r="A857" s="65"/>
      <c r="B857" s="63"/>
      <c r="C857" s="63"/>
      <c r="D857" s="96"/>
    </row>
    <row r="858" spans="1:4" s="13" customFormat="1" ht="15.75">
      <c r="A858" s="65"/>
      <c r="B858" s="63"/>
      <c r="C858" s="63"/>
      <c r="D858" s="96"/>
    </row>
    <row r="859" spans="1:4" s="13" customFormat="1" ht="15.75">
      <c r="A859" s="65"/>
      <c r="B859" s="63"/>
      <c r="C859" s="63"/>
      <c r="D859" s="96"/>
    </row>
    <row r="860" spans="1:4" s="13" customFormat="1" ht="15.75">
      <c r="A860" s="65"/>
      <c r="B860" s="63"/>
      <c r="C860" s="63"/>
      <c r="D860" s="96"/>
    </row>
    <row r="861" spans="1:4" s="13" customFormat="1" ht="15.75">
      <c r="A861" s="65"/>
      <c r="B861" s="63"/>
      <c r="C861" s="63"/>
      <c r="D861" s="96"/>
    </row>
    <row r="862" spans="1:4" s="13" customFormat="1" ht="15.75">
      <c r="A862" s="65"/>
      <c r="B862" s="63"/>
      <c r="C862" s="63"/>
      <c r="D862" s="96"/>
    </row>
    <row r="863" spans="1:4" s="13" customFormat="1" ht="15.75">
      <c r="A863" s="65"/>
      <c r="B863" s="63"/>
      <c r="C863" s="63"/>
      <c r="D863" s="96"/>
    </row>
    <row r="864" spans="1:4" s="13" customFormat="1" ht="15.75">
      <c r="A864" s="65"/>
      <c r="B864" s="63"/>
      <c r="C864" s="63"/>
      <c r="D864" s="96"/>
    </row>
    <row r="865" spans="1:4" s="13" customFormat="1" ht="15.75">
      <c r="A865" s="65"/>
      <c r="B865" s="63"/>
      <c r="C865" s="63"/>
      <c r="D865" s="96"/>
    </row>
    <row r="866" spans="1:4" s="13" customFormat="1" ht="15.75">
      <c r="A866" s="65"/>
      <c r="B866" s="63"/>
      <c r="C866" s="63"/>
      <c r="D866" s="96"/>
    </row>
    <row r="867" spans="1:4" s="13" customFormat="1" ht="15.75">
      <c r="A867" s="65"/>
      <c r="B867" s="63"/>
      <c r="C867" s="63"/>
      <c r="D867" s="96"/>
    </row>
    <row r="868" spans="1:4" s="13" customFormat="1" ht="15.75">
      <c r="A868" s="65"/>
      <c r="B868" s="63"/>
      <c r="C868" s="63"/>
      <c r="D868" s="96"/>
    </row>
    <row r="869" spans="1:4" s="13" customFormat="1" ht="15.75">
      <c r="A869" s="65"/>
      <c r="B869" s="63"/>
      <c r="C869" s="63"/>
      <c r="D869" s="96"/>
    </row>
    <row r="870" spans="1:4" s="13" customFormat="1" ht="15.75">
      <c r="A870" s="65"/>
      <c r="B870" s="63"/>
      <c r="C870" s="63"/>
      <c r="D870" s="96"/>
    </row>
    <row r="871" spans="1:4" s="13" customFormat="1" ht="15.75">
      <c r="A871" s="65"/>
      <c r="B871" s="63"/>
      <c r="C871" s="63"/>
      <c r="D871" s="96"/>
    </row>
    <row r="872" spans="1:4" s="13" customFormat="1" ht="15.75">
      <c r="A872" s="65"/>
      <c r="B872" s="63"/>
      <c r="C872" s="63"/>
      <c r="D872" s="96"/>
    </row>
    <row r="873" spans="1:4" s="13" customFormat="1" ht="15.75">
      <c r="A873" s="65"/>
      <c r="B873" s="63"/>
      <c r="C873" s="63"/>
      <c r="D873" s="96"/>
    </row>
    <row r="874" spans="1:4" s="13" customFormat="1" ht="15.75">
      <c r="A874" s="65"/>
      <c r="B874" s="63"/>
      <c r="C874" s="63"/>
      <c r="D874" s="96"/>
    </row>
    <row r="875" spans="1:4" s="13" customFormat="1" ht="15.75">
      <c r="A875" s="65"/>
      <c r="B875" s="63"/>
      <c r="C875" s="63"/>
      <c r="D875" s="96"/>
    </row>
    <row r="876" spans="1:4" s="13" customFormat="1" ht="15.75">
      <c r="A876" s="65"/>
      <c r="B876" s="63"/>
      <c r="C876" s="63"/>
      <c r="D876" s="96"/>
    </row>
    <row r="877" spans="1:4" s="13" customFormat="1" ht="15.75">
      <c r="A877" s="65"/>
      <c r="B877" s="63"/>
      <c r="C877" s="63"/>
      <c r="D877" s="96"/>
    </row>
    <row r="878" spans="1:4" s="13" customFormat="1" ht="15.75">
      <c r="A878" s="65"/>
      <c r="B878" s="63"/>
      <c r="C878" s="63"/>
      <c r="D878" s="96"/>
    </row>
    <row r="879" spans="1:4" s="13" customFormat="1" ht="15.75">
      <c r="A879" s="65"/>
      <c r="B879" s="63"/>
      <c r="C879" s="63"/>
      <c r="D879" s="96"/>
    </row>
    <row r="880" spans="1:4" s="13" customFormat="1" ht="15.75">
      <c r="A880" s="65"/>
      <c r="B880" s="63"/>
      <c r="C880" s="63"/>
      <c r="D880" s="96"/>
    </row>
    <row r="881" spans="1:4" s="13" customFormat="1" ht="15.75">
      <c r="A881" s="65"/>
      <c r="B881" s="63"/>
      <c r="C881" s="63"/>
      <c r="D881" s="96"/>
    </row>
    <row r="882" spans="1:4" s="13" customFormat="1" ht="15.75">
      <c r="A882" s="65"/>
      <c r="B882" s="63"/>
      <c r="C882" s="63"/>
      <c r="D882" s="96"/>
    </row>
    <row r="883" spans="1:4" s="13" customFormat="1" ht="15.75">
      <c r="A883" s="65"/>
      <c r="B883" s="63"/>
      <c r="C883" s="63"/>
      <c r="D883" s="96"/>
    </row>
    <row r="884" spans="1:4" s="13" customFormat="1" ht="15.75">
      <c r="A884" s="65"/>
      <c r="B884" s="63"/>
      <c r="C884" s="63"/>
      <c r="D884" s="96"/>
    </row>
    <row r="885" spans="1:4" s="13" customFormat="1" ht="15.75">
      <c r="A885" s="65"/>
      <c r="B885" s="63"/>
      <c r="C885" s="63"/>
      <c r="D885" s="96"/>
    </row>
    <row r="886" spans="1:4" s="13" customFormat="1" ht="15.75">
      <c r="A886" s="65"/>
      <c r="B886" s="63"/>
      <c r="C886" s="63"/>
      <c r="D886" s="96"/>
    </row>
    <row r="887" spans="1:4" s="13" customFormat="1" ht="15.75">
      <c r="A887" s="65"/>
      <c r="B887" s="63"/>
      <c r="C887" s="63"/>
      <c r="D887" s="96"/>
    </row>
    <row r="888" spans="1:4" s="13" customFormat="1" ht="15.75">
      <c r="A888" s="65"/>
      <c r="B888" s="63"/>
      <c r="C888" s="63"/>
      <c r="D888" s="96"/>
    </row>
    <row r="889" spans="1:4" s="13" customFormat="1" ht="15.75">
      <c r="A889" s="65"/>
      <c r="B889" s="63"/>
      <c r="C889" s="63"/>
      <c r="D889" s="96"/>
    </row>
    <row r="890" spans="1:4" s="13" customFormat="1" ht="15.75">
      <c r="A890" s="65"/>
      <c r="B890" s="63"/>
      <c r="C890" s="63"/>
      <c r="D890" s="96"/>
    </row>
    <row r="891" spans="1:4" s="13" customFormat="1" ht="15.75">
      <c r="A891" s="65"/>
      <c r="B891" s="63"/>
      <c r="C891" s="63"/>
      <c r="D891" s="96"/>
    </row>
    <row r="892" spans="1:4" s="13" customFormat="1" ht="15.75">
      <c r="A892" s="65"/>
      <c r="B892" s="63"/>
      <c r="C892" s="63"/>
      <c r="D892" s="96"/>
    </row>
    <row r="893" spans="1:4" s="13" customFormat="1" ht="15.75">
      <c r="A893" s="65"/>
      <c r="B893" s="63"/>
      <c r="C893" s="63"/>
      <c r="D893" s="96"/>
    </row>
    <row r="894" spans="1:4" s="13" customFormat="1" ht="15.75">
      <c r="A894" s="65"/>
      <c r="B894" s="63"/>
      <c r="C894" s="63"/>
      <c r="D894" s="96"/>
    </row>
    <row r="895" spans="1:4" s="13" customFormat="1" ht="15.75">
      <c r="A895" s="65"/>
      <c r="B895" s="63"/>
      <c r="C895" s="63"/>
      <c r="D895" s="96"/>
    </row>
    <row r="896" spans="1:4" s="13" customFormat="1" ht="15.75">
      <c r="A896" s="65"/>
      <c r="B896" s="63"/>
      <c r="C896" s="63"/>
      <c r="D896" s="96"/>
    </row>
    <row r="897" spans="1:4" s="13" customFormat="1" ht="15.75">
      <c r="A897" s="65"/>
      <c r="B897" s="63"/>
      <c r="C897" s="63"/>
      <c r="D897" s="96"/>
    </row>
    <row r="898" spans="1:4" s="13" customFormat="1" ht="15.75">
      <c r="A898" s="65"/>
      <c r="B898" s="63"/>
      <c r="C898" s="63"/>
      <c r="D898" s="96"/>
    </row>
    <row r="899" spans="1:4" s="13" customFormat="1" ht="15.75">
      <c r="A899" s="65"/>
      <c r="B899" s="63"/>
      <c r="C899" s="63"/>
      <c r="D899" s="96"/>
    </row>
    <row r="900" spans="1:4" s="13" customFormat="1" ht="15.75">
      <c r="A900" s="65"/>
      <c r="B900" s="63"/>
      <c r="C900" s="63"/>
      <c r="D900" s="96"/>
    </row>
    <row r="901" spans="1:4" s="13" customFormat="1" ht="15.75">
      <c r="A901" s="65"/>
      <c r="B901" s="63"/>
      <c r="C901" s="63"/>
      <c r="D901" s="96"/>
    </row>
    <row r="902" spans="1:4" s="13" customFormat="1" ht="15.75">
      <c r="A902" s="65"/>
      <c r="B902" s="63"/>
      <c r="C902" s="63"/>
      <c r="D902" s="96"/>
    </row>
    <row r="903" spans="1:4" s="13" customFormat="1" ht="15.75">
      <c r="A903" s="65"/>
      <c r="B903" s="63"/>
      <c r="C903" s="63"/>
      <c r="D903" s="96"/>
    </row>
    <row r="904" spans="1:4" s="13" customFormat="1" ht="15.75">
      <c r="A904" s="65"/>
      <c r="B904" s="63"/>
      <c r="C904" s="63"/>
      <c r="D904" s="96"/>
    </row>
    <row r="905" spans="1:4" s="13" customFormat="1" ht="15.75">
      <c r="A905" s="65"/>
      <c r="B905" s="63"/>
      <c r="C905" s="63"/>
      <c r="D905" s="96"/>
    </row>
    <row r="906" spans="1:4" s="13" customFormat="1" ht="15.75">
      <c r="A906" s="65"/>
      <c r="B906" s="63"/>
      <c r="C906" s="63"/>
      <c r="D906" s="96"/>
    </row>
    <row r="907" spans="1:4" s="13" customFormat="1" ht="15.75">
      <c r="A907" s="65"/>
      <c r="B907" s="63"/>
      <c r="C907" s="63"/>
      <c r="D907" s="96"/>
    </row>
    <row r="908" spans="1:4" s="13" customFormat="1" ht="15.75">
      <c r="A908" s="65"/>
      <c r="B908" s="63"/>
      <c r="C908" s="63"/>
      <c r="D908" s="96"/>
    </row>
    <row r="909" spans="1:4" s="13" customFormat="1" ht="15.75">
      <c r="A909" s="65"/>
      <c r="B909" s="63"/>
      <c r="C909" s="63"/>
      <c r="D909" s="96"/>
    </row>
    <row r="910" spans="1:4" s="13" customFormat="1" ht="15.75">
      <c r="A910" s="65"/>
      <c r="B910" s="63"/>
      <c r="C910" s="63"/>
      <c r="D910" s="96"/>
    </row>
    <row r="911" spans="1:4" s="13" customFormat="1" ht="15.75">
      <c r="A911" s="65"/>
      <c r="B911" s="63"/>
      <c r="C911" s="63"/>
      <c r="D911" s="96"/>
    </row>
    <row r="912" spans="1:4" s="13" customFormat="1" ht="15.75">
      <c r="A912" s="65"/>
      <c r="B912" s="63"/>
      <c r="C912" s="63"/>
      <c r="D912" s="96"/>
    </row>
    <row r="913" spans="1:4" s="13" customFormat="1" ht="15.75">
      <c r="A913" s="65"/>
      <c r="B913" s="63"/>
      <c r="C913" s="63"/>
      <c r="D913" s="96"/>
    </row>
    <row r="914" spans="1:4" s="13" customFormat="1" ht="15.75">
      <c r="A914" s="65"/>
      <c r="B914" s="63"/>
      <c r="C914" s="63"/>
      <c r="D914" s="96"/>
    </row>
    <row r="915" spans="1:4" s="13" customFormat="1" ht="15.75">
      <c r="A915" s="65"/>
      <c r="B915" s="63"/>
      <c r="C915" s="63"/>
      <c r="D915" s="96"/>
    </row>
    <row r="916" spans="1:4" s="13" customFormat="1" ht="15.75">
      <c r="A916" s="65"/>
      <c r="B916" s="63"/>
      <c r="C916" s="63"/>
      <c r="D916" s="96"/>
    </row>
    <row r="917" spans="1:4" s="13" customFormat="1" ht="15.75">
      <c r="A917" s="65"/>
      <c r="B917" s="63"/>
      <c r="C917" s="63"/>
      <c r="D917" s="96"/>
    </row>
    <row r="918" spans="1:4" s="13" customFormat="1" ht="15.75">
      <c r="A918" s="65"/>
      <c r="B918" s="63"/>
      <c r="C918" s="63"/>
      <c r="D918" s="96"/>
    </row>
    <row r="919" spans="1:4" s="13" customFormat="1" ht="15.75">
      <c r="A919" s="65"/>
      <c r="B919" s="63"/>
      <c r="C919" s="63"/>
      <c r="D919" s="96"/>
    </row>
    <row r="920" spans="1:4" s="13" customFormat="1" ht="15.75">
      <c r="A920" s="65"/>
      <c r="B920" s="63"/>
      <c r="C920" s="63"/>
      <c r="D920" s="96"/>
    </row>
    <row r="921" spans="1:4" s="13" customFormat="1" ht="15.75">
      <c r="A921" s="65"/>
      <c r="B921" s="63"/>
      <c r="C921" s="63"/>
      <c r="D921" s="96"/>
    </row>
    <row r="922" spans="1:4" s="13" customFormat="1" ht="15.75">
      <c r="A922" s="65"/>
      <c r="B922" s="63"/>
      <c r="C922" s="63"/>
      <c r="D922" s="96"/>
    </row>
    <row r="923" spans="1:4" s="13" customFormat="1" ht="15.75">
      <c r="A923" s="65"/>
      <c r="B923" s="63"/>
      <c r="C923" s="63"/>
      <c r="D923" s="96"/>
    </row>
    <row r="924" spans="1:4" s="13" customFormat="1" ht="15.75">
      <c r="A924" s="65"/>
      <c r="B924" s="63"/>
      <c r="C924" s="63"/>
      <c r="D924" s="96"/>
    </row>
    <row r="925" spans="1:4" s="13" customFormat="1" ht="15.75">
      <c r="A925" s="65"/>
      <c r="B925" s="63"/>
      <c r="C925" s="63"/>
      <c r="D925" s="96"/>
    </row>
    <row r="926" spans="1:4" s="13" customFormat="1" ht="15.75">
      <c r="A926" s="65"/>
      <c r="B926" s="63"/>
      <c r="C926" s="63"/>
      <c r="D926" s="96"/>
    </row>
    <row r="927" spans="1:4" s="13" customFormat="1" ht="15.75">
      <c r="A927" s="65"/>
      <c r="B927" s="63"/>
      <c r="C927" s="63"/>
      <c r="D927" s="96"/>
    </row>
    <row r="928" spans="1:4" s="13" customFormat="1" ht="15.75">
      <c r="A928" s="65"/>
      <c r="B928" s="63"/>
      <c r="C928" s="63"/>
      <c r="D928" s="96"/>
    </row>
    <row r="929" spans="1:4" s="13" customFormat="1" ht="15.75">
      <c r="A929" s="65"/>
      <c r="B929" s="63"/>
      <c r="C929" s="63"/>
      <c r="D929" s="96"/>
    </row>
    <row r="930" spans="1:4" s="13" customFormat="1" ht="15.75">
      <c r="A930" s="65"/>
      <c r="B930" s="63"/>
      <c r="C930" s="63"/>
      <c r="D930" s="96"/>
    </row>
    <row r="931" spans="1:4" s="13" customFormat="1" ht="15.75">
      <c r="A931" s="65"/>
      <c r="B931" s="63"/>
      <c r="C931" s="63"/>
      <c r="D931" s="96"/>
    </row>
    <row r="932" spans="1:4" s="13" customFormat="1" ht="15.75">
      <c r="A932" s="65"/>
      <c r="B932" s="63"/>
      <c r="C932" s="63"/>
      <c r="D932" s="96"/>
    </row>
    <row r="933" spans="1:4" s="13" customFormat="1" ht="15.75">
      <c r="A933" s="65"/>
      <c r="B933" s="63"/>
      <c r="C933" s="63"/>
      <c r="D933" s="96"/>
    </row>
    <row r="934" spans="1:4" s="13" customFormat="1" ht="15.75">
      <c r="A934" s="65"/>
      <c r="B934" s="63"/>
      <c r="C934" s="63"/>
      <c r="D934" s="96"/>
    </row>
    <row r="935" spans="1:4" s="13" customFormat="1" ht="15.75">
      <c r="A935" s="65"/>
      <c r="B935" s="63"/>
      <c r="C935" s="63"/>
      <c r="D935" s="96"/>
    </row>
    <row r="936" spans="1:4" s="13" customFormat="1" ht="15.75">
      <c r="A936" s="65"/>
      <c r="B936" s="63"/>
      <c r="C936" s="63"/>
      <c r="D936" s="96"/>
    </row>
    <row r="937" spans="1:4" s="13" customFormat="1" ht="15.75">
      <c r="A937" s="65"/>
      <c r="B937" s="63"/>
      <c r="C937" s="63"/>
      <c r="D937" s="96"/>
    </row>
    <row r="938" spans="1:4" s="13" customFormat="1" ht="15.75">
      <c r="A938" s="65"/>
      <c r="B938" s="63"/>
      <c r="C938" s="63"/>
      <c r="D938" s="96"/>
    </row>
    <row r="939" spans="1:4" s="13" customFormat="1" ht="15.75">
      <c r="A939" s="65"/>
      <c r="B939" s="63"/>
      <c r="C939" s="63"/>
      <c r="D939" s="96"/>
    </row>
    <row r="940" spans="1:4" s="13" customFormat="1" ht="15.75">
      <c r="A940" s="65"/>
      <c r="B940" s="63"/>
      <c r="C940" s="63"/>
      <c r="D940" s="96"/>
    </row>
    <row r="941" spans="1:4" s="13" customFormat="1" ht="15.75">
      <c r="A941" s="65"/>
      <c r="B941" s="63"/>
      <c r="C941" s="63"/>
      <c r="D941" s="96"/>
    </row>
    <row r="942" spans="1:4" s="13" customFormat="1" ht="15.75">
      <c r="A942" s="65"/>
      <c r="B942" s="63"/>
      <c r="C942" s="63"/>
      <c r="D942" s="96"/>
    </row>
    <row r="943" spans="1:4" s="13" customFormat="1" ht="15.75">
      <c r="A943" s="65"/>
      <c r="B943" s="63"/>
      <c r="C943" s="63"/>
      <c r="D943" s="96"/>
    </row>
    <row r="944" spans="1:4" s="13" customFormat="1" ht="15.75">
      <c r="A944" s="65"/>
      <c r="B944" s="63"/>
      <c r="C944" s="63"/>
      <c r="D944" s="96"/>
    </row>
    <row r="945" spans="1:4" s="13" customFormat="1" ht="15.75">
      <c r="A945" s="65"/>
      <c r="B945" s="63"/>
      <c r="C945" s="63"/>
      <c r="D945" s="96"/>
    </row>
    <row r="946" spans="1:4" s="13" customFormat="1" ht="15.75">
      <c r="A946" s="65"/>
      <c r="B946" s="63"/>
      <c r="C946" s="63"/>
      <c r="D946" s="96"/>
    </row>
    <row r="947" spans="1:4" s="13" customFormat="1" ht="15.75">
      <c r="A947" s="65"/>
      <c r="B947" s="63"/>
      <c r="C947" s="63"/>
      <c r="D947" s="96"/>
    </row>
    <row r="948" spans="1:4" s="13" customFormat="1" ht="15.75">
      <c r="A948" s="65"/>
      <c r="B948" s="63"/>
      <c r="C948" s="63"/>
      <c r="D948" s="96"/>
    </row>
    <row r="949" spans="1:4" s="13" customFormat="1" ht="15.75">
      <c r="A949" s="65"/>
      <c r="B949" s="63"/>
      <c r="C949" s="63"/>
      <c r="D949" s="96"/>
    </row>
    <row r="950" spans="1:4" s="13" customFormat="1" ht="15.75">
      <c r="A950" s="65"/>
      <c r="B950" s="63"/>
      <c r="C950" s="63"/>
      <c r="D950" s="96"/>
    </row>
    <row r="951" spans="1:4" s="13" customFormat="1" ht="15.75">
      <c r="A951" s="65"/>
      <c r="B951" s="63"/>
      <c r="C951" s="63"/>
      <c r="D951" s="96"/>
    </row>
    <row r="952" spans="1:4" s="13" customFormat="1" ht="15.75">
      <c r="A952" s="65"/>
      <c r="B952" s="63"/>
      <c r="C952" s="63"/>
      <c r="D952" s="96"/>
    </row>
    <row r="953" spans="1:4" s="13" customFormat="1" ht="15.75">
      <c r="A953" s="65"/>
      <c r="B953" s="63"/>
      <c r="C953" s="63"/>
      <c r="D953" s="96"/>
    </row>
    <row r="954" spans="1:4" s="13" customFormat="1" ht="15.75">
      <c r="A954" s="65"/>
      <c r="B954" s="63"/>
      <c r="C954" s="63"/>
      <c r="D954" s="96"/>
    </row>
    <row r="955" spans="1:4" s="13" customFormat="1" ht="15.75">
      <c r="A955" s="65"/>
      <c r="B955" s="63"/>
      <c r="C955" s="63"/>
      <c r="D955" s="96"/>
    </row>
    <row r="956" spans="1:4" s="13" customFormat="1" ht="15.75">
      <c r="A956" s="65"/>
      <c r="B956" s="63"/>
      <c r="C956" s="63"/>
      <c r="D956" s="96"/>
    </row>
    <row r="957" spans="1:4" s="13" customFormat="1" ht="15.75">
      <c r="A957" s="65"/>
      <c r="B957" s="63"/>
      <c r="C957" s="63"/>
      <c r="D957" s="96"/>
    </row>
    <row r="958" spans="1:4" s="13" customFormat="1" ht="15.75">
      <c r="A958" s="65"/>
      <c r="B958" s="63"/>
      <c r="C958" s="63"/>
      <c r="D958" s="96"/>
    </row>
    <row r="959" spans="1:4" s="13" customFormat="1" ht="15.75">
      <c r="A959" s="65"/>
      <c r="B959" s="63"/>
      <c r="C959" s="63"/>
      <c r="D959" s="96"/>
    </row>
    <row r="960" spans="1:4" s="13" customFormat="1" ht="15.75">
      <c r="A960" s="65"/>
      <c r="B960" s="63"/>
      <c r="C960" s="63"/>
      <c r="D960" s="96"/>
    </row>
    <row r="961" spans="1:4" s="13" customFormat="1" ht="15.75">
      <c r="A961" s="65"/>
      <c r="B961" s="63"/>
      <c r="C961" s="63"/>
      <c r="D961" s="96"/>
    </row>
    <row r="962" spans="1:4" s="13" customFormat="1" ht="15.75">
      <c r="A962" s="65"/>
      <c r="B962" s="63"/>
      <c r="C962" s="63"/>
      <c r="D962" s="96"/>
    </row>
    <row r="963" spans="1:4" s="13" customFormat="1" ht="15.75">
      <c r="A963" s="65"/>
      <c r="B963" s="63"/>
      <c r="C963" s="63"/>
      <c r="D963" s="96"/>
    </row>
    <row r="964" spans="1:4" s="13" customFormat="1" ht="15.75">
      <c r="A964" s="65"/>
      <c r="B964" s="63"/>
      <c r="C964" s="63"/>
      <c r="D964" s="96"/>
    </row>
    <row r="965" spans="1:4" s="13" customFormat="1" ht="15.75">
      <c r="A965" s="65"/>
      <c r="B965" s="63"/>
      <c r="C965" s="63"/>
      <c r="D965" s="96"/>
    </row>
    <row r="966" spans="1:4" s="13" customFormat="1" ht="15.75">
      <c r="A966" s="65"/>
      <c r="B966" s="63"/>
      <c r="C966" s="63"/>
      <c r="D966" s="96"/>
    </row>
    <row r="967" spans="1:4" s="13" customFormat="1" ht="15.75">
      <c r="A967" s="65"/>
      <c r="B967" s="63"/>
      <c r="C967" s="63"/>
      <c r="D967" s="96"/>
    </row>
    <row r="968" spans="1:4" s="13" customFormat="1" ht="15.75">
      <c r="A968" s="65"/>
      <c r="B968" s="63"/>
      <c r="C968" s="63"/>
      <c r="D968" s="96"/>
    </row>
    <row r="969" spans="1:4" s="13" customFormat="1" ht="15.75">
      <c r="A969" s="65"/>
      <c r="B969" s="63"/>
      <c r="C969" s="63"/>
      <c r="D969" s="96"/>
    </row>
    <row r="970" spans="1:4" s="13" customFormat="1" ht="15.75">
      <c r="A970" s="65"/>
      <c r="B970" s="63"/>
      <c r="C970" s="63"/>
      <c r="D970" s="96"/>
    </row>
    <row r="971" spans="1:4" s="13" customFormat="1" ht="15.75">
      <c r="A971" s="65"/>
      <c r="B971" s="63"/>
      <c r="C971" s="63"/>
      <c r="D971" s="96"/>
    </row>
    <row r="972" spans="1:4" s="13" customFormat="1" ht="15.75">
      <c r="A972" s="65"/>
      <c r="B972" s="63"/>
      <c r="C972" s="63"/>
      <c r="D972" s="96"/>
    </row>
    <row r="973" spans="1:4" s="13" customFormat="1" ht="15.75">
      <c r="A973" s="65"/>
      <c r="B973" s="63"/>
      <c r="C973" s="63"/>
      <c r="D973" s="96"/>
    </row>
    <row r="974" spans="1:4" s="13" customFormat="1" ht="15.75">
      <c r="A974" s="65"/>
      <c r="B974" s="63"/>
      <c r="C974" s="63"/>
      <c r="D974" s="96"/>
    </row>
    <row r="975" spans="1:4" s="13" customFormat="1" ht="15.75">
      <c r="A975" s="65"/>
      <c r="B975" s="63"/>
      <c r="C975" s="63"/>
      <c r="D975" s="96"/>
    </row>
    <row r="976" spans="1:4" s="13" customFormat="1" ht="15.75">
      <c r="A976" s="65"/>
      <c r="B976" s="63"/>
      <c r="C976" s="63"/>
      <c r="D976" s="96"/>
    </row>
    <row r="977" spans="1:4" s="13" customFormat="1" ht="15.75">
      <c r="A977" s="65"/>
      <c r="B977" s="63"/>
      <c r="C977" s="63"/>
      <c r="D977" s="96"/>
    </row>
    <row r="978" spans="1:4" s="13" customFormat="1" ht="15.75">
      <c r="A978" s="65"/>
      <c r="B978" s="63"/>
      <c r="C978" s="63"/>
      <c r="D978" s="96"/>
    </row>
    <row r="979" spans="1:4" s="13" customFormat="1" ht="15.75">
      <c r="A979" s="65"/>
      <c r="B979" s="63"/>
      <c r="C979" s="63"/>
      <c r="D979" s="96"/>
    </row>
    <row r="980" spans="1:4" ht="15.75">
      <c r="A980" s="65"/>
      <c r="B980" s="63"/>
      <c r="C980" s="63"/>
      <c r="D980" s="96"/>
    </row>
    <row r="981" spans="1:4" ht="15.75">
      <c r="A981" s="65"/>
      <c r="B981" s="63"/>
      <c r="C981" s="63"/>
      <c r="D981" s="96"/>
    </row>
    <row r="982" spans="1:4" ht="15.75">
      <c r="A982" s="65"/>
      <c r="B982" s="63"/>
      <c r="C982" s="63"/>
      <c r="D982" s="96"/>
    </row>
    <row r="983" spans="1:4" ht="15.75">
      <c r="A983" s="65"/>
      <c r="B983" s="63"/>
      <c r="C983" s="63"/>
      <c r="D983" s="96"/>
    </row>
    <row r="984" spans="1:4" ht="15.75">
      <c r="A984" s="65"/>
      <c r="B984" s="63"/>
      <c r="C984" s="63"/>
      <c r="D984" s="96"/>
    </row>
    <row r="985" spans="1:4" ht="15.75">
      <c r="A985" s="65"/>
      <c r="B985" s="63"/>
      <c r="C985" s="63"/>
      <c r="D985" s="96"/>
    </row>
    <row r="986" spans="1:4" ht="15.75">
      <c r="A986" s="65"/>
      <c r="B986" s="63"/>
      <c r="C986" s="63"/>
      <c r="D986" s="96"/>
    </row>
    <row r="987" spans="1:4" ht="15.75">
      <c r="A987" s="65"/>
      <c r="B987" s="63"/>
      <c r="C987" s="63"/>
      <c r="D987" s="96"/>
    </row>
    <row r="988" spans="1:4" ht="15.75">
      <c r="A988" s="65"/>
      <c r="B988" s="63"/>
      <c r="C988" s="63"/>
      <c r="D988" s="96"/>
    </row>
    <row r="989" spans="1:4" ht="15.75">
      <c r="A989" s="65"/>
      <c r="B989" s="63"/>
      <c r="C989" s="63"/>
      <c r="D989" s="96"/>
    </row>
    <row r="990" spans="1:4" ht="15.75">
      <c r="A990" s="65"/>
      <c r="B990" s="63"/>
      <c r="C990" s="63"/>
      <c r="D990" s="96"/>
    </row>
    <row r="991" spans="1:4" ht="15.75">
      <c r="A991" s="65"/>
      <c r="B991" s="63"/>
      <c r="C991" s="63"/>
      <c r="D991" s="96"/>
    </row>
    <row r="992" spans="1:4" ht="15.75">
      <c r="A992" s="65"/>
      <c r="B992" s="63"/>
      <c r="C992" s="63"/>
      <c r="D992" s="96"/>
    </row>
    <row r="993" spans="1:4" ht="15.75">
      <c r="A993" s="65"/>
      <c r="B993" s="63"/>
      <c r="C993" s="63"/>
      <c r="D993" s="96"/>
    </row>
    <row r="994" spans="1:4" ht="15.75">
      <c r="A994" s="65"/>
      <c r="B994" s="63"/>
      <c r="C994" s="63"/>
      <c r="D994" s="96"/>
    </row>
    <row r="995" spans="1:4" ht="15.75">
      <c r="A995" s="65"/>
      <c r="B995" s="63"/>
      <c r="C995" s="63"/>
      <c r="D995" s="96"/>
    </row>
    <row r="996" spans="1:4" ht="15.75">
      <c r="A996" s="65"/>
      <c r="B996" s="63"/>
      <c r="C996" s="63"/>
      <c r="D996" s="96"/>
    </row>
    <row r="997" spans="1:4" ht="15.75">
      <c r="A997" s="65"/>
      <c r="B997" s="63"/>
      <c r="C997" s="63"/>
      <c r="D997" s="96"/>
    </row>
    <row r="998" spans="1:4" ht="15.75">
      <c r="A998" s="65"/>
      <c r="B998" s="63"/>
      <c r="C998" s="63"/>
      <c r="D998" s="96"/>
    </row>
    <row r="999" spans="1:4" ht="15.75">
      <c r="A999" s="65"/>
      <c r="B999" s="63"/>
      <c r="C999" s="63"/>
      <c r="D999" s="96"/>
    </row>
    <row r="1000" spans="1:4" ht="15.75">
      <c r="A1000" s="65"/>
      <c r="B1000" s="63"/>
      <c r="C1000" s="63"/>
      <c r="D1000" s="96"/>
    </row>
    <row r="1001" spans="1:4" ht="15.75">
      <c r="A1001" s="65"/>
      <c r="B1001" s="63"/>
      <c r="C1001" s="63"/>
      <c r="D1001" s="96"/>
    </row>
    <row r="1002" spans="1:4" ht="15.75">
      <c r="A1002" s="65"/>
      <c r="B1002" s="63"/>
      <c r="C1002" s="63"/>
      <c r="D1002" s="96"/>
    </row>
    <row r="1003" spans="1:4" ht="15.75">
      <c r="A1003" s="65"/>
      <c r="B1003" s="63"/>
      <c r="C1003" s="63"/>
      <c r="D1003" s="96"/>
    </row>
    <row r="1004" spans="1:4" ht="15.75">
      <c r="A1004" s="65"/>
      <c r="B1004" s="63"/>
      <c r="C1004" s="63"/>
      <c r="D1004" s="96"/>
    </row>
    <row r="1005" spans="1:4" ht="15.75">
      <c r="A1005" s="65"/>
      <c r="B1005" s="63"/>
      <c r="C1005" s="63"/>
      <c r="D1005" s="96"/>
    </row>
    <row r="1006" spans="1:4" ht="15.75">
      <c r="A1006" s="65"/>
      <c r="B1006" s="63"/>
      <c r="C1006" s="63"/>
      <c r="D1006" s="96"/>
    </row>
    <row r="1007" spans="1:4" ht="15.75">
      <c r="A1007" s="65"/>
      <c r="B1007" s="63"/>
      <c r="C1007" s="63"/>
      <c r="D1007" s="96"/>
    </row>
    <row r="1008" spans="1:4" ht="15.75">
      <c r="A1008" s="65"/>
      <c r="B1008" s="63"/>
      <c r="C1008" s="63"/>
      <c r="D1008" s="96"/>
    </row>
    <row r="1009" spans="1:4" ht="15.75">
      <c r="A1009" s="65"/>
      <c r="B1009" s="63"/>
      <c r="C1009" s="63"/>
      <c r="D1009" s="96"/>
    </row>
    <row r="1010" spans="1:4" ht="15.75">
      <c r="A1010" s="65"/>
      <c r="B1010" s="63"/>
      <c r="C1010" s="63"/>
      <c r="D1010" s="96"/>
    </row>
    <row r="1011" spans="1:4" ht="15.75">
      <c r="A1011" s="65"/>
      <c r="B1011" s="63"/>
      <c r="C1011" s="63"/>
      <c r="D1011" s="96"/>
    </row>
    <row r="1012" spans="1:4" ht="15.75">
      <c r="A1012" s="65"/>
      <c r="B1012" s="63"/>
      <c r="C1012" s="63"/>
      <c r="D1012" s="96"/>
    </row>
    <row r="1013" spans="1:4" ht="15.75">
      <c r="A1013" s="65"/>
      <c r="B1013" s="63"/>
      <c r="C1013" s="63"/>
      <c r="D1013" s="96"/>
    </row>
    <row r="1014" spans="1:4" ht="15.75">
      <c r="A1014" s="65"/>
      <c r="B1014" s="63"/>
      <c r="C1014" s="63"/>
      <c r="D1014" s="96"/>
    </row>
    <row r="1015" spans="1:4" ht="15.75">
      <c r="A1015" s="65"/>
      <c r="B1015" s="63"/>
      <c r="C1015" s="63"/>
      <c r="D1015" s="96"/>
    </row>
    <row r="1016" spans="1:4" ht="15.75">
      <c r="A1016" s="65"/>
      <c r="B1016" s="63"/>
      <c r="C1016" s="63"/>
      <c r="D1016" s="96"/>
    </row>
    <row r="1017" spans="1:4" ht="15.75">
      <c r="A1017" s="65"/>
      <c r="B1017" s="63"/>
      <c r="C1017" s="63"/>
      <c r="D1017" s="96"/>
    </row>
    <row r="1018" spans="1:4" ht="15.75">
      <c r="A1018" s="65"/>
      <c r="B1018" s="63"/>
      <c r="C1018" s="63"/>
      <c r="D1018" s="96"/>
    </row>
    <row r="1019" spans="1:4" ht="15.75">
      <c r="A1019" s="65"/>
      <c r="B1019" s="63"/>
      <c r="C1019" s="63"/>
      <c r="D1019" s="96"/>
    </row>
    <row r="1020" spans="1:4" ht="15.75">
      <c r="A1020" s="65"/>
      <c r="B1020" s="63"/>
      <c r="C1020" s="63"/>
      <c r="D1020" s="96"/>
    </row>
    <row r="1021" spans="1:4" ht="15.75">
      <c r="A1021" s="65"/>
      <c r="B1021" s="63"/>
      <c r="C1021" s="63"/>
      <c r="D1021" s="96"/>
    </row>
    <row r="1022" spans="1:4" ht="15.75">
      <c r="A1022" s="65"/>
      <c r="B1022" s="63"/>
      <c r="C1022" s="63"/>
      <c r="D1022" s="96"/>
    </row>
  </sheetData>
  <sheetProtection/>
  <autoFilter ref="A14:D700"/>
  <mergeCells count="11">
    <mergeCell ref="B8:G8"/>
    <mergeCell ref="B9:G9"/>
    <mergeCell ref="B10:G10"/>
    <mergeCell ref="B11:G11"/>
    <mergeCell ref="A12:D12"/>
    <mergeCell ref="B1:G1"/>
    <mergeCell ref="B2:G2"/>
    <mergeCell ref="B3:G3"/>
    <mergeCell ref="B4:G4"/>
    <mergeCell ref="B5:G5"/>
    <mergeCell ref="B7:G7"/>
  </mergeCells>
  <printOptions/>
  <pageMargins left="1.1811023622047245" right="0.5905511811023623" top="0.7874015748031497" bottom="0.7874015748031497" header="0" footer="0"/>
  <pageSetup fitToHeight="11" fitToWidth="1" horizontalDpi="600" verticalDpi="600" orientation="portrait" paperSize="9" scale="68" r:id="rId1"/>
  <colBreaks count="1" manualBreakCount="1">
    <brk id="4" max="7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130"/>
  <sheetViews>
    <sheetView view="pageBreakPreview" zoomScale="130" zoomScaleNormal="140" zoomScaleSheetLayoutView="130" zoomScalePageLayoutView="0" workbookViewId="0" topLeftCell="A775">
      <selection activeCell="D84" sqref="D84"/>
    </sheetView>
  </sheetViews>
  <sheetFormatPr defaultColWidth="9.00390625" defaultRowHeight="12.75"/>
  <cols>
    <col min="1" max="1" width="73.125" style="88" customWidth="1"/>
    <col min="2" max="2" width="10.875" style="92" customWidth="1"/>
    <col min="3" max="3" width="5.375" style="58" customWidth="1"/>
    <col min="4" max="4" width="9.875" style="358" customWidth="1"/>
    <col min="5" max="5" width="10.75390625" style="358" customWidth="1"/>
    <col min="6" max="6" width="10.75390625" style="97" customWidth="1"/>
    <col min="7" max="16384" width="9.125" style="15" customWidth="1"/>
  </cols>
  <sheetData>
    <row r="1" spans="1:12" s="13" customFormat="1" ht="11.25" customHeight="1">
      <c r="A1" s="85"/>
      <c r="B1" s="396" t="s">
        <v>678</v>
      </c>
      <c r="C1" s="397"/>
      <c r="D1" s="397"/>
      <c r="E1" s="398"/>
      <c r="F1" s="398"/>
      <c r="L1" s="69"/>
    </row>
    <row r="2" spans="1:6" ht="33" customHeight="1">
      <c r="A2" s="399" t="s">
        <v>522</v>
      </c>
      <c r="B2" s="399"/>
      <c r="C2" s="399"/>
      <c r="D2" s="399"/>
      <c r="E2" s="400"/>
      <c r="F2" s="400"/>
    </row>
    <row r="3" spans="1:6" s="13" customFormat="1" ht="66" customHeight="1">
      <c r="A3" s="86" t="s">
        <v>169</v>
      </c>
      <c r="B3" s="86" t="s">
        <v>168</v>
      </c>
      <c r="C3" s="61" t="s">
        <v>173</v>
      </c>
      <c r="D3" s="86" t="s">
        <v>598</v>
      </c>
      <c r="E3" s="86" t="s">
        <v>599</v>
      </c>
      <c r="F3" s="93" t="s">
        <v>600</v>
      </c>
    </row>
    <row r="4" spans="1:6" s="16" customFormat="1" ht="12.75" customHeight="1">
      <c r="A4" s="87">
        <v>1</v>
      </c>
      <c r="B4" s="90" t="s">
        <v>269</v>
      </c>
      <c r="C4" s="62" t="s">
        <v>270</v>
      </c>
      <c r="D4" s="90" t="s">
        <v>158</v>
      </c>
      <c r="E4" s="90" t="s">
        <v>596</v>
      </c>
      <c r="F4" s="94" t="s">
        <v>597</v>
      </c>
    </row>
    <row r="5" spans="1:6" s="20" customFormat="1" ht="24">
      <c r="A5" s="247" t="s">
        <v>428</v>
      </c>
      <c r="B5" s="248" t="s">
        <v>49</v>
      </c>
      <c r="C5" s="249"/>
      <c r="D5" s="50">
        <f>D6+D9</f>
        <v>1034.2</v>
      </c>
      <c r="E5" s="50">
        <f>E6+E9</f>
        <v>1034.2</v>
      </c>
      <c r="F5" s="50">
        <f>F6+F9</f>
        <v>0</v>
      </c>
    </row>
    <row r="6" spans="1:6" s="20" customFormat="1" ht="12.75">
      <c r="A6" s="170" t="s">
        <v>138</v>
      </c>
      <c r="B6" s="250" t="s">
        <v>50</v>
      </c>
      <c r="C6" s="251"/>
      <c r="D6" s="51">
        <f>D7</f>
        <v>998.7</v>
      </c>
      <c r="E6" s="51">
        <f>E7</f>
        <v>998.7</v>
      </c>
      <c r="F6" s="51">
        <f>F7</f>
        <v>0</v>
      </c>
    </row>
    <row r="7" spans="1:6" s="20" customFormat="1" ht="22.5" customHeight="1">
      <c r="A7" s="252" t="s">
        <v>264</v>
      </c>
      <c r="B7" s="250" t="s">
        <v>50</v>
      </c>
      <c r="C7" s="251" t="s">
        <v>216</v>
      </c>
      <c r="D7" s="51">
        <f>SUM(D8)</f>
        <v>998.7</v>
      </c>
      <c r="E7" s="51">
        <f>SUM(E8)</f>
        <v>998.7</v>
      </c>
      <c r="F7" s="51">
        <f>SUM(F8)</f>
        <v>0</v>
      </c>
    </row>
    <row r="8" spans="1:6" s="20" customFormat="1" ht="12.75" customHeight="1">
      <c r="A8" s="252" t="s">
        <v>217</v>
      </c>
      <c r="B8" s="250" t="s">
        <v>50</v>
      </c>
      <c r="C8" s="251" t="s">
        <v>215</v>
      </c>
      <c r="D8" s="51">
        <f>1050-100+48.7</f>
        <v>998.7</v>
      </c>
      <c r="E8" s="51">
        <f>1050-100+48.7</f>
        <v>998.7</v>
      </c>
      <c r="F8" s="51">
        <f>D8-E8</f>
        <v>0</v>
      </c>
    </row>
    <row r="9" spans="1:6" s="20" customFormat="1" ht="12.75">
      <c r="A9" s="253" t="s">
        <v>140</v>
      </c>
      <c r="B9" s="254" t="s">
        <v>51</v>
      </c>
      <c r="C9" s="251"/>
      <c r="D9" s="51">
        <f aca="true" t="shared" si="0" ref="D9:F10">D10</f>
        <v>35.5</v>
      </c>
      <c r="E9" s="51">
        <f t="shared" si="0"/>
        <v>35.5</v>
      </c>
      <c r="F9" s="51">
        <f t="shared" si="0"/>
        <v>0</v>
      </c>
    </row>
    <row r="10" spans="1:6" s="20" customFormat="1" ht="12.75" customHeight="1">
      <c r="A10" s="252" t="s">
        <v>264</v>
      </c>
      <c r="B10" s="254" t="s">
        <v>51</v>
      </c>
      <c r="C10" s="251" t="s">
        <v>216</v>
      </c>
      <c r="D10" s="51">
        <f t="shared" si="0"/>
        <v>35.5</v>
      </c>
      <c r="E10" s="51">
        <f t="shared" si="0"/>
        <v>35.5</v>
      </c>
      <c r="F10" s="51">
        <f t="shared" si="0"/>
        <v>0</v>
      </c>
    </row>
    <row r="11" spans="1:6" s="20" customFormat="1" ht="12.75" customHeight="1">
      <c r="A11" s="252" t="s">
        <v>217</v>
      </c>
      <c r="B11" s="254" t="s">
        <v>51</v>
      </c>
      <c r="C11" s="251" t="s">
        <v>215</v>
      </c>
      <c r="D11" s="51">
        <v>35.5</v>
      </c>
      <c r="E11" s="51">
        <v>35.5</v>
      </c>
      <c r="F11" s="51">
        <f>D11-E11</f>
        <v>0</v>
      </c>
    </row>
    <row r="12" spans="1:6" s="20" customFormat="1" ht="16.5" customHeight="1">
      <c r="A12" s="247" t="s">
        <v>434</v>
      </c>
      <c r="B12" s="248" t="s">
        <v>13</v>
      </c>
      <c r="C12" s="249"/>
      <c r="D12" s="320">
        <f>D13+D50+D147+D188</f>
        <v>888444.898</v>
      </c>
      <c r="E12" s="320">
        <f>E13+E50+E147+E188</f>
        <v>888897.7100000001</v>
      </c>
      <c r="F12" s="320">
        <f>F13+F50+F147+F188</f>
        <v>-452.812000000025</v>
      </c>
    </row>
    <row r="13" spans="1:6" ht="16.5" customHeight="1">
      <c r="A13" s="255" t="s">
        <v>440</v>
      </c>
      <c r="B13" s="256" t="s">
        <v>14</v>
      </c>
      <c r="C13" s="257"/>
      <c r="D13" s="320">
        <f>D14+D17+D20+D23+D26+D29+D32+D35+D41+D44+D47+D39</f>
        <v>247072.842</v>
      </c>
      <c r="E13" s="320">
        <f>E14+E17+E20+E23+E26+E29+E32+E35+E41+E44+E47+E39</f>
        <v>260315.742</v>
      </c>
      <c r="F13" s="320">
        <f>F14+F17+F20+F23+F26+F29+F32+F35+F41+F44+F47+F39</f>
        <v>-13242.90000000001</v>
      </c>
    </row>
    <row r="14" spans="1:6" ht="16.5" customHeight="1">
      <c r="A14" s="258" t="s">
        <v>125</v>
      </c>
      <c r="B14" s="259" t="s">
        <v>30</v>
      </c>
      <c r="C14" s="260"/>
      <c r="D14" s="321">
        <f aca="true" t="shared" si="1" ref="D14:F15">D15</f>
        <v>93491.8</v>
      </c>
      <c r="E14" s="321">
        <f t="shared" si="1"/>
        <v>95547.3</v>
      </c>
      <c r="F14" s="321">
        <f t="shared" si="1"/>
        <v>-2055.5</v>
      </c>
    </row>
    <row r="15" spans="1:6" ht="26.25" customHeight="1">
      <c r="A15" s="261" t="s">
        <v>220</v>
      </c>
      <c r="B15" s="259" t="s">
        <v>30</v>
      </c>
      <c r="C15" s="260" t="s">
        <v>206</v>
      </c>
      <c r="D15" s="321">
        <f t="shared" si="1"/>
        <v>93491.8</v>
      </c>
      <c r="E15" s="321">
        <f t="shared" si="1"/>
        <v>95547.3</v>
      </c>
      <c r="F15" s="321">
        <f t="shared" si="1"/>
        <v>-2055.5</v>
      </c>
    </row>
    <row r="16" spans="1:6" ht="12.75" customHeight="1">
      <c r="A16" s="262" t="s">
        <v>221</v>
      </c>
      <c r="B16" s="259" t="s">
        <v>30</v>
      </c>
      <c r="C16" s="260" t="s">
        <v>222</v>
      </c>
      <c r="D16" s="321">
        <v>93491.8</v>
      </c>
      <c r="E16" s="321">
        <v>95547.3</v>
      </c>
      <c r="F16" s="51">
        <f>D16-E16</f>
        <v>-2055.5</v>
      </c>
    </row>
    <row r="17" spans="1:6" ht="18.75" customHeight="1">
      <c r="A17" s="263" t="s">
        <v>253</v>
      </c>
      <c r="B17" s="259" t="s">
        <v>254</v>
      </c>
      <c r="C17" s="260"/>
      <c r="D17" s="321">
        <f aca="true" t="shared" si="2" ref="D17:F21">D18</f>
        <v>610.1</v>
      </c>
      <c r="E17" s="321">
        <f t="shared" si="2"/>
        <v>616.4</v>
      </c>
      <c r="F17" s="321">
        <f t="shared" si="2"/>
        <v>-6.2999999999999545</v>
      </c>
    </row>
    <row r="18" spans="1:6" ht="24.75" customHeight="1">
      <c r="A18" s="261" t="s">
        <v>220</v>
      </c>
      <c r="B18" s="259" t="s">
        <v>254</v>
      </c>
      <c r="C18" s="260" t="s">
        <v>206</v>
      </c>
      <c r="D18" s="321">
        <f t="shared" si="2"/>
        <v>610.1</v>
      </c>
      <c r="E18" s="321">
        <f t="shared" si="2"/>
        <v>616.4</v>
      </c>
      <c r="F18" s="321">
        <f t="shared" si="2"/>
        <v>-6.2999999999999545</v>
      </c>
    </row>
    <row r="19" spans="1:6" s="36" customFormat="1" ht="12.75" customHeight="1">
      <c r="A19" s="262" t="s">
        <v>221</v>
      </c>
      <c r="B19" s="259" t="s">
        <v>254</v>
      </c>
      <c r="C19" s="260" t="s">
        <v>222</v>
      </c>
      <c r="D19" s="321">
        <v>610.1</v>
      </c>
      <c r="E19" s="321">
        <v>616.4</v>
      </c>
      <c r="F19" s="51">
        <f>D19-E19</f>
        <v>-6.2999999999999545</v>
      </c>
    </row>
    <row r="20" spans="1:6" s="36" customFormat="1" ht="12.75" customHeight="1">
      <c r="A20" s="262" t="s">
        <v>8</v>
      </c>
      <c r="B20" s="259" t="s">
        <v>667</v>
      </c>
      <c r="C20" s="260"/>
      <c r="D20" s="321">
        <f t="shared" si="2"/>
        <v>774.9</v>
      </c>
      <c r="E20" s="321">
        <f t="shared" si="2"/>
        <v>774.9</v>
      </c>
      <c r="F20" s="321">
        <f t="shared" si="2"/>
        <v>0</v>
      </c>
    </row>
    <row r="21" spans="1:6" s="36" customFormat="1" ht="26.25" customHeight="1">
      <c r="A21" s="262" t="s">
        <v>220</v>
      </c>
      <c r="B21" s="259" t="s">
        <v>667</v>
      </c>
      <c r="C21" s="260" t="s">
        <v>206</v>
      </c>
      <c r="D21" s="321">
        <f t="shared" si="2"/>
        <v>774.9</v>
      </c>
      <c r="E21" s="321">
        <f t="shared" si="2"/>
        <v>774.9</v>
      </c>
      <c r="F21" s="321">
        <f t="shared" si="2"/>
        <v>0</v>
      </c>
    </row>
    <row r="22" spans="1:6" s="36" customFormat="1" ht="12.75" customHeight="1">
      <c r="A22" s="262" t="s">
        <v>221</v>
      </c>
      <c r="B22" s="259" t="s">
        <v>667</v>
      </c>
      <c r="C22" s="260" t="s">
        <v>222</v>
      </c>
      <c r="D22" s="321">
        <v>774.9</v>
      </c>
      <c r="E22" s="321">
        <v>774.9</v>
      </c>
      <c r="F22" s="51">
        <f>D22-E22</f>
        <v>0</v>
      </c>
    </row>
    <row r="23" spans="1:6" s="36" customFormat="1" ht="12.75">
      <c r="A23" s="263" t="s">
        <v>323</v>
      </c>
      <c r="B23" s="259" t="s">
        <v>28</v>
      </c>
      <c r="C23" s="260"/>
      <c r="D23" s="321">
        <f aca="true" t="shared" si="3" ref="D23:F24">D24</f>
        <v>460.4</v>
      </c>
      <c r="E23" s="321">
        <f t="shared" si="3"/>
        <v>460.4</v>
      </c>
      <c r="F23" s="321">
        <f t="shared" si="3"/>
        <v>0</v>
      </c>
    </row>
    <row r="24" spans="1:6" s="36" customFormat="1" ht="24" customHeight="1">
      <c r="A24" s="261" t="s">
        <v>220</v>
      </c>
      <c r="B24" s="259" t="s">
        <v>28</v>
      </c>
      <c r="C24" s="260" t="s">
        <v>206</v>
      </c>
      <c r="D24" s="321">
        <f t="shared" si="3"/>
        <v>460.4</v>
      </c>
      <c r="E24" s="321">
        <f t="shared" si="3"/>
        <v>460.4</v>
      </c>
      <c r="F24" s="321">
        <f t="shared" si="3"/>
        <v>0</v>
      </c>
    </row>
    <row r="25" spans="1:6" s="36" customFormat="1" ht="12.75" customHeight="1">
      <c r="A25" s="262" t="s">
        <v>221</v>
      </c>
      <c r="B25" s="259" t="s">
        <v>28</v>
      </c>
      <c r="C25" s="260" t="s">
        <v>222</v>
      </c>
      <c r="D25" s="321">
        <v>460.4</v>
      </c>
      <c r="E25" s="321">
        <v>460.4</v>
      </c>
      <c r="F25" s="51">
        <f>D25-E25</f>
        <v>0</v>
      </c>
    </row>
    <row r="26" spans="1:6" s="36" customFormat="1" ht="24">
      <c r="A26" s="263" t="s">
        <v>324</v>
      </c>
      <c r="B26" s="259" t="s">
        <v>29</v>
      </c>
      <c r="C26" s="260"/>
      <c r="D26" s="321">
        <f aca="true" t="shared" si="4" ref="D26:F27">D27</f>
        <v>99.7</v>
      </c>
      <c r="E26" s="321">
        <f t="shared" si="4"/>
        <v>99.7</v>
      </c>
      <c r="F26" s="321">
        <f t="shared" si="4"/>
        <v>0</v>
      </c>
    </row>
    <row r="27" spans="1:6" ht="25.5" customHeight="1">
      <c r="A27" s="261" t="s">
        <v>220</v>
      </c>
      <c r="B27" s="259" t="s">
        <v>29</v>
      </c>
      <c r="C27" s="260" t="s">
        <v>206</v>
      </c>
      <c r="D27" s="321">
        <f t="shared" si="4"/>
        <v>99.7</v>
      </c>
      <c r="E27" s="321">
        <f t="shared" si="4"/>
        <v>99.7</v>
      </c>
      <c r="F27" s="321">
        <f t="shared" si="4"/>
        <v>0</v>
      </c>
    </row>
    <row r="28" spans="1:6" ht="15" customHeight="1">
      <c r="A28" s="262" t="s">
        <v>221</v>
      </c>
      <c r="B28" s="259" t="s">
        <v>29</v>
      </c>
      <c r="C28" s="260" t="s">
        <v>222</v>
      </c>
      <c r="D28" s="321">
        <v>99.7</v>
      </c>
      <c r="E28" s="321">
        <v>99.7</v>
      </c>
      <c r="F28" s="51">
        <f>D28-E28</f>
        <v>0</v>
      </c>
    </row>
    <row r="29" spans="1:6" ht="17.25" customHeight="1">
      <c r="A29" s="263" t="s">
        <v>325</v>
      </c>
      <c r="B29" s="259" t="s">
        <v>579</v>
      </c>
      <c r="C29" s="260"/>
      <c r="D29" s="321">
        <f aca="true" t="shared" si="5" ref="D29:F30">D30</f>
        <v>1116.2</v>
      </c>
      <c r="E29" s="321">
        <f t="shared" si="5"/>
        <v>1116.2</v>
      </c>
      <c r="F29" s="321">
        <f t="shared" si="5"/>
        <v>0</v>
      </c>
    </row>
    <row r="30" spans="1:6" ht="24.75" customHeight="1">
      <c r="A30" s="261" t="s">
        <v>220</v>
      </c>
      <c r="B30" s="259" t="s">
        <v>579</v>
      </c>
      <c r="C30" s="260" t="s">
        <v>206</v>
      </c>
      <c r="D30" s="321">
        <f t="shared" si="5"/>
        <v>1116.2</v>
      </c>
      <c r="E30" s="321">
        <f t="shared" si="5"/>
        <v>1116.2</v>
      </c>
      <c r="F30" s="321">
        <f t="shared" si="5"/>
        <v>0</v>
      </c>
    </row>
    <row r="31" spans="1:6" ht="16.5" customHeight="1">
      <c r="A31" s="262" t="s">
        <v>221</v>
      </c>
      <c r="B31" s="259" t="s">
        <v>579</v>
      </c>
      <c r="C31" s="260" t="s">
        <v>222</v>
      </c>
      <c r="D31" s="321">
        <v>1116.2</v>
      </c>
      <c r="E31" s="321">
        <v>1116.2</v>
      </c>
      <c r="F31" s="51">
        <f>D31-E31</f>
        <v>0</v>
      </c>
    </row>
    <row r="32" spans="1:6" ht="15.75">
      <c r="A32" s="263" t="s">
        <v>430</v>
      </c>
      <c r="B32" s="259" t="s">
        <v>580</v>
      </c>
      <c r="C32" s="260"/>
      <c r="D32" s="321">
        <f aca="true" t="shared" si="6" ref="D32:F33">D33</f>
        <v>39.9</v>
      </c>
      <c r="E32" s="321">
        <f t="shared" si="6"/>
        <v>39.9</v>
      </c>
      <c r="F32" s="321">
        <f t="shared" si="6"/>
        <v>0</v>
      </c>
    </row>
    <row r="33" spans="1:6" ht="24.75" customHeight="1">
      <c r="A33" s="261" t="s">
        <v>220</v>
      </c>
      <c r="B33" s="259" t="s">
        <v>580</v>
      </c>
      <c r="C33" s="260" t="s">
        <v>206</v>
      </c>
      <c r="D33" s="321">
        <f t="shared" si="6"/>
        <v>39.9</v>
      </c>
      <c r="E33" s="321">
        <f t="shared" si="6"/>
        <v>39.9</v>
      </c>
      <c r="F33" s="321">
        <f t="shared" si="6"/>
        <v>0</v>
      </c>
    </row>
    <row r="34" spans="1:6" ht="15.75" customHeight="1">
      <c r="A34" s="262" t="s">
        <v>221</v>
      </c>
      <c r="B34" s="259" t="s">
        <v>580</v>
      </c>
      <c r="C34" s="260" t="s">
        <v>222</v>
      </c>
      <c r="D34" s="321">
        <v>39.9</v>
      </c>
      <c r="E34" s="321">
        <v>39.9</v>
      </c>
      <c r="F34" s="51">
        <f>D34-E34</f>
        <v>0</v>
      </c>
    </row>
    <row r="35" spans="1:6" ht="39" customHeight="1">
      <c r="A35" s="264" t="s">
        <v>665</v>
      </c>
      <c r="B35" s="259" t="s">
        <v>664</v>
      </c>
      <c r="C35" s="260"/>
      <c r="D35" s="321">
        <f aca="true" t="shared" si="7" ref="D35:F39">D36</f>
        <v>1106.5</v>
      </c>
      <c r="E35" s="321">
        <f t="shared" si="7"/>
        <v>1106.5</v>
      </c>
      <c r="F35" s="321">
        <f t="shared" si="7"/>
        <v>0</v>
      </c>
    </row>
    <row r="36" spans="1:6" ht="24.75" customHeight="1">
      <c r="A36" s="261" t="s">
        <v>220</v>
      </c>
      <c r="B36" s="259" t="s">
        <v>664</v>
      </c>
      <c r="C36" s="260" t="s">
        <v>206</v>
      </c>
      <c r="D36" s="321">
        <f t="shared" si="7"/>
        <v>1106.5</v>
      </c>
      <c r="E36" s="321">
        <f t="shared" si="7"/>
        <v>1106.5</v>
      </c>
      <c r="F36" s="321">
        <f t="shared" si="7"/>
        <v>0</v>
      </c>
    </row>
    <row r="37" spans="1:6" ht="15.75" customHeight="1">
      <c r="A37" s="262" t="s">
        <v>221</v>
      </c>
      <c r="B37" s="259" t="s">
        <v>664</v>
      </c>
      <c r="C37" s="260" t="s">
        <v>222</v>
      </c>
      <c r="D37" s="321">
        <v>1106.5</v>
      </c>
      <c r="E37" s="321">
        <v>1106.5</v>
      </c>
      <c r="F37" s="51">
        <f>D37-E37</f>
        <v>0</v>
      </c>
    </row>
    <row r="38" spans="1:6" ht="14.25" customHeight="1">
      <c r="A38" s="264" t="s">
        <v>680</v>
      </c>
      <c r="B38" s="259" t="s">
        <v>684</v>
      </c>
      <c r="C38" s="260"/>
      <c r="D38" s="321">
        <f t="shared" si="7"/>
        <v>2200</v>
      </c>
      <c r="E38" s="321">
        <f t="shared" si="7"/>
        <v>2200</v>
      </c>
      <c r="F38" s="321">
        <f t="shared" si="7"/>
        <v>0</v>
      </c>
    </row>
    <row r="39" spans="1:6" ht="24.75" customHeight="1">
      <c r="A39" s="261" t="s">
        <v>220</v>
      </c>
      <c r="B39" s="259" t="s">
        <v>684</v>
      </c>
      <c r="C39" s="260" t="s">
        <v>206</v>
      </c>
      <c r="D39" s="321">
        <f t="shared" si="7"/>
        <v>2200</v>
      </c>
      <c r="E39" s="321">
        <f t="shared" si="7"/>
        <v>2200</v>
      </c>
      <c r="F39" s="321">
        <f t="shared" si="7"/>
        <v>0</v>
      </c>
    </row>
    <row r="40" spans="1:6" ht="15.75" customHeight="1">
      <c r="A40" s="262" t="s">
        <v>221</v>
      </c>
      <c r="B40" s="259" t="s">
        <v>684</v>
      </c>
      <c r="C40" s="260" t="s">
        <v>222</v>
      </c>
      <c r="D40" s="321">
        <v>2200</v>
      </c>
      <c r="E40" s="321">
        <v>2200</v>
      </c>
      <c r="F40" s="51">
        <f>D40-E40</f>
        <v>0</v>
      </c>
    </row>
    <row r="41" spans="1:6" ht="48.75">
      <c r="A41" s="264" t="s">
        <v>295</v>
      </c>
      <c r="B41" s="259" t="s">
        <v>289</v>
      </c>
      <c r="C41" s="260"/>
      <c r="D41" s="321">
        <f aca="true" t="shared" si="8" ref="D41:F42">D42</f>
        <v>1622.842</v>
      </c>
      <c r="E41" s="321">
        <f t="shared" si="8"/>
        <v>1622.842</v>
      </c>
      <c r="F41" s="321">
        <f t="shared" si="8"/>
        <v>0</v>
      </c>
    </row>
    <row r="42" spans="1:6" ht="24.75" customHeight="1">
      <c r="A42" s="261" t="s">
        <v>220</v>
      </c>
      <c r="B42" s="259" t="s">
        <v>289</v>
      </c>
      <c r="C42" s="260" t="s">
        <v>206</v>
      </c>
      <c r="D42" s="321">
        <f t="shared" si="8"/>
        <v>1622.842</v>
      </c>
      <c r="E42" s="321">
        <f t="shared" si="8"/>
        <v>1622.842</v>
      </c>
      <c r="F42" s="321">
        <f t="shared" si="8"/>
        <v>0</v>
      </c>
    </row>
    <row r="43" spans="1:6" ht="15.75" customHeight="1">
      <c r="A43" s="262" t="s">
        <v>221</v>
      </c>
      <c r="B43" s="259" t="s">
        <v>289</v>
      </c>
      <c r="C43" s="260" t="s">
        <v>222</v>
      </c>
      <c r="D43" s="321">
        <f>1472.842+150</f>
        <v>1622.842</v>
      </c>
      <c r="E43" s="321">
        <f>1472.842+150</f>
        <v>1622.842</v>
      </c>
      <c r="F43" s="51">
        <f>D43-E43</f>
        <v>0</v>
      </c>
    </row>
    <row r="44" spans="1:6" ht="15.75">
      <c r="A44" s="265" t="s">
        <v>333</v>
      </c>
      <c r="B44" s="259" t="s">
        <v>90</v>
      </c>
      <c r="C44" s="260"/>
      <c r="D44" s="51">
        <f aca="true" t="shared" si="9" ref="D44:F45">D45</f>
        <v>136451.5</v>
      </c>
      <c r="E44" s="51">
        <f t="shared" si="9"/>
        <v>147632.7</v>
      </c>
      <c r="F44" s="51">
        <f t="shared" si="9"/>
        <v>-11181.200000000012</v>
      </c>
    </row>
    <row r="45" spans="1:6" ht="24.75" customHeight="1">
      <c r="A45" s="261" t="s">
        <v>220</v>
      </c>
      <c r="B45" s="259" t="s">
        <v>90</v>
      </c>
      <c r="C45" s="260" t="s">
        <v>206</v>
      </c>
      <c r="D45" s="321">
        <f t="shared" si="9"/>
        <v>136451.5</v>
      </c>
      <c r="E45" s="321">
        <f t="shared" si="9"/>
        <v>147632.7</v>
      </c>
      <c r="F45" s="321">
        <f t="shared" si="9"/>
        <v>-11181.200000000012</v>
      </c>
    </row>
    <row r="46" spans="1:6" ht="15.75" customHeight="1">
      <c r="A46" s="262" t="s">
        <v>221</v>
      </c>
      <c r="B46" s="259" t="s">
        <v>90</v>
      </c>
      <c r="C46" s="260" t="s">
        <v>222</v>
      </c>
      <c r="D46" s="321">
        <v>136451.5</v>
      </c>
      <c r="E46" s="321">
        <f>136451.5+11181.2</f>
        <v>147632.7</v>
      </c>
      <c r="F46" s="51">
        <f>D46-E46</f>
        <v>-11181.200000000012</v>
      </c>
    </row>
    <row r="47" spans="1:6" s="36" customFormat="1" ht="24">
      <c r="A47" s="262" t="s">
        <v>296</v>
      </c>
      <c r="B47" s="259" t="s">
        <v>91</v>
      </c>
      <c r="C47" s="260"/>
      <c r="D47" s="321">
        <f aca="true" t="shared" si="10" ref="D47:F48">D48</f>
        <v>9099</v>
      </c>
      <c r="E47" s="321">
        <f t="shared" si="10"/>
        <v>9098.9</v>
      </c>
      <c r="F47" s="321">
        <f t="shared" si="10"/>
        <v>0.1000000000003638</v>
      </c>
    </row>
    <row r="48" spans="1:6" s="36" customFormat="1" ht="24" customHeight="1">
      <c r="A48" s="262" t="s">
        <v>220</v>
      </c>
      <c r="B48" s="259" t="s">
        <v>91</v>
      </c>
      <c r="C48" s="260" t="s">
        <v>206</v>
      </c>
      <c r="D48" s="321">
        <f t="shared" si="10"/>
        <v>9099</v>
      </c>
      <c r="E48" s="321">
        <f t="shared" si="10"/>
        <v>9098.9</v>
      </c>
      <c r="F48" s="321">
        <f t="shared" si="10"/>
        <v>0.1000000000003638</v>
      </c>
    </row>
    <row r="49" spans="1:6" s="36" customFormat="1" ht="12.75" customHeight="1">
      <c r="A49" s="262" t="s">
        <v>221</v>
      </c>
      <c r="B49" s="259" t="s">
        <v>91</v>
      </c>
      <c r="C49" s="260" t="s">
        <v>222</v>
      </c>
      <c r="D49" s="321">
        <v>9099</v>
      </c>
      <c r="E49" s="321">
        <f>8710.5+388.4</f>
        <v>9098.9</v>
      </c>
      <c r="F49" s="51">
        <f>D49-E49</f>
        <v>0.1000000000003638</v>
      </c>
    </row>
    <row r="50" spans="1:6" s="13" customFormat="1" ht="15.75">
      <c r="A50" s="255" t="s">
        <v>441</v>
      </c>
      <c r="B50" s="256" t="s">
        <v>31</v>
      </c>
      <c r="C50" s="257"/>
      <c r="D50" s="50">
        <f>D51+D54+D57+D63+D66+D69+D75+D78+D81+D93+D96+D135+D105+D108+D111+D126+D129+D132+D138+D114+D84+D102+D117+D120+D141+D144+D60+D87+D123+D99+D90</f>
        <v>600882.0560000001</v>
      </c>
      <c r="E50" s="50">
        <f>E51+E54+E57+E63+E66+E69+E75+E78+E81+E93+E96+E135+E105+E108+E111+E126+E129+E132+E138+E114+E84+E102+E117+E120+E141+E144+E60+E87+E123+E99+E90</f>
        <v>587872.8680000001</v>
      </c>
      <c r="F50" s="364">
        <f>F51+F54+F57+F63+F66+F69+F75+F78+F81+F93+F96+F135+F105+F108+F111+F126+F129+F132+F138+F114+F84+F102+F117+F120+F141+F144+F60+F87+F123+F99+F90</f>
        <v>13009.187999999986</v>
      </c>
    </row>
    <row r="51" spans="1:6" ht="15.75" customHeight="1">
      <c r="A51" s="258" t="s">
        <v>125</v>
      </c>
      <c r="B51" s="259" t="s">
        <v>32</v>
      </c>
      <c r="C51" s="260"/>
      <c r="D51" s="321">
        <f aca="true" t="shared" si="11" ref="D51:F52">D52</f>
        <v>102825.988</v>
      </c>
      <c r="E51" s="321">
        <f t="shared" si="11"/>
        <v>100570.9</v>
      </c>
      <c r="F51" s="321">
        <f t="shared" si="11"/>
        <v>2255.0880000000034</v>
      </c>
    </row>
    <row r="52" spans="1:6" ht="24.75" customHeight="1">
      <c r="A52" s="261" t="s">
        <v>220</v>
      </c>
      <c r="B52" s="259" t="s">
        <v>32</v>
      </c>
      <c r="C52" s="260" t="s">
        <v>206</v>
      </c>
      <c r="D52" s="51">
        <f t="shared" si="11"/>
        <v>102825.988</v>
      </c>
      <c r="E52" s="51">
        <f t="shared" si="11"/>
        <v>100570.9</v>
      </c>
      <c r="F52" s="51">
        <f t="shared" si="11"/>
        <v>2255.0880000000034</v>
      </c>
    </row>
    <row r="53" spans="1:6" ht="15.75" customHeight="1">
      <c r="A53" s="262" t="s">
        <v>221</v>
      </c>
      <c r="B53" s="259" t="s">
        <v>32</v>
      </c>
      <c r="C53" s="260" t="s">
        <v>222</v>
      </c>
      <c r="D53" s="51">
        <v>102825.988</v>
      </c>
      <c r="E53" s="51">
        <f>101070.9-500</f>
        <v>100570.9</v>
      </c>
      <c r="F53" s="51">
        <f>D53-E53</f>
        <v>2255.0880000000034</v>
      </c>
    </row>
    <row r="54" spans="1:6" ht="15.75">
      <c r="A54" s="263" t="s">
        <v>253</v>
      </c>
      <c r="B54" s="259" t="s">
        <v>259</v>
      </c>
      <c r="C54" s="260"/>
      <c r="D54" s="51">
        <f aca="true" t="shared" si="12" ref="D54:F55">D55</f>
        <v>908.9</v>
      </c>
      <c r="E54" s="51">
        <f t="shared" si="12"/>
        <v>949.1</v>
      </c>
      <c r="F54" s="51">
        <f t="shared" si="12"/>
        <v>-40.200000000000045</v>
      </c>
    </row>
    <row r="55" spans="1:6" ht="24.75" customHeight="1">
      <c r="A55" s="261" t="s">
        <v>220</v>
      </c>
      <c r="B55" s="259" t="s">
        <v>259</v>
      </c>
      <c r="C55" s="260" t="s">
        <v>206</v>
      </c>
      <c r="D55" s="51">
        <f t="shared" si="12"/>
        <v>908.9</v>
      </c>
      <c r="E55" s="51">
        <f t="shared" si="12"/>
        <v>949.1</v>
      </c>
      <c r="F55" s="51">
        <f t="shared" si="12"/>
        <v>-40.200000000000045</v>
      </c>
    </row>
    <row r="56" spans="1:6" ht="15.75" customHeight="1">
      <c r="A56" s="262" t="s">
        <v>221</v>
      </c>
      <c r="B56" s="259" t="s">
        <v>259</v>
      </c>
      <c r="C56" s="260" t="s">
        <v>222</v>
      </c>
      <c r="D56" s="51">
        <v>908.9</v>
      </c>
      <c r="E56" s="51">
        <v>949.1</v>
      </c>
      <c r="F56" s="51">
        <f>D56-E56</f>
        <v>-40.200000000000045</v>
      </c>
    </row>
    <row r="57" spans="1:6" ht="24">
      <c r="A57" s="263" t="s">
        <v>564</v>
      </c>
      <c r="B57" s="259" t="s">
        <v>566</v>
      </c>
      <c r="C57" s="260"/>
      <c r="D57" s="51">
        <f aca="true" t="shared" si="13" ref="D57:F58">D58</f>
        <v>3198.5</v>
      </c>
      <c r="E57" s="51">
        <f t="shared" si="13"/>
        <v>3198.5</v>
      </c>
      <c r="F57" s="51">
        <f t="shared" si="13"/>
        <v>0</v>
      </c>
    </row>
    <row r="58" spans="1:6" ht="24.75" customHeight="1">
      <c r="A58" s="261" t="s">
        <v>220</v>
      </c>
      <c r="B58" s="259" t="s">
        <v>566</v>
      </c>
      <c r="C58" s="260" t="s">
        <v>206</v>
      </c>
      <c r="D58" s="51">
        <f t="shared" si="13"/>
        <v>3198.5</v>
      </c>
      <c r="E58" s="51">
        <f t="shared" si="13"/>
        <v>3198.5</v>
      </c>
      <c r="F58" s="51">
        <f t="shared" si="13"/>
        <v>0</v>
      </c>
    </row>
    <row r="59" spans="1:6" ht="15.75" customHeight="1">
      <c r="A59" s="262" t="s">
        <v>221</v>
      </c>
      <c r="B59" s="259" t="s">
        <v>566</v>
      </c>
      <c r="C59" s="260" t="s">
        <v>222</v>
      </c>
      <c r="D59" s="51">
        <v>3198.5</v>
      </c>
      <c r="E59" s="51">
        <v>3198.5</v>
      </c>
      <c r="F59" s="51">
        <f>D59-E59</f>
        <v>0</v>
      </c>
    </row>
    <row r="60" spans="1:6" s="36" customFormat="1" ht="12.75">
      <c r="A60" s="263" t="s">
        <v>8</v>
      </c>
      <c r="B60" s="259" t="s">
        <v>648</v>
      </c>
      <c r="C60" s="260"/>
      <c r="D60" s="51">
        <f aca="true" t="shared" si="14" ref="D60:F61">D61</f>
        <v>2345</v>
      </c>
      <c r="E60" s="51">
        <f t="shared" si="14"/>
        <v>2345</v>
      </c>
      <c r="F60" s="51">
        <f t="shared" si="14"/>
        <v>0</v>
      </c>
    </row>
    <row r="61" spans="1:6" s="36" customFormat="1" ht="24" customHeight="1">
      <c r="A61" s="261" t="s">
        <v>220</v>
      </c>
      <c r="B61" s="259" t="s">
        <v>648</v>
      </c>
      <c r="C61" s="260" t="s">
        <v>206</v>
      </c>
      <c r="D61" s="51">
        <f t="shared" si="14"/>
        <v>2345</v>
      </c>
      <c r="E61" s="51">
        <f t="shared" si="14"/>
        <v>2345</v>
      </c>
      <c r="F61" s="51">
        <f t="shared" si="14"/>
        <v>0</v>
      </c>
    </row>
    <row r="62" spans="1:6" s="36" customFormat="1" ht="12.75" customHeight="1">
      <c r="A62" s="262" t="s">
        <v>221</v>
      </c>
      <c r="B62" s="259" t="s">
        <v>648</v>
      </c>
      <c r="C62" s="260" t="s">
        <v>222</v>
      </c>
      <c r="D62" s="51">
        <v>2345</v>
      </c>
      <c r="E62" s="51">
        <v>2345</v>
      </c>
      <c r="F62" s="51">
        <f>D62-E62</f>
        <v>0</v>
      </c>
    </row>
    <row r="63" spans="1:6" s="36" customFormat="1" ht="12.75">
      <c r="A63" s="263" t="s">
        <v>432</v>
      </c>
      <c r="B63" s="259" t="s">
        <v>369</v>
      </c>
      <c r="C63" s="260"/>
      <c r="D63" s="51">
        <f aca="true" t="shared" si="15" ref="D63:F64">D64</f>
        <v>4955</v>
      </c>
      <c r="E63" s="51">
        <f t="shared" si="15"/>
        <v>4955</v>
      </c>
      <c r="F63" s="51">
        <f t="shared" si="15"/>
        <v>0</v>
      </c>
    </row>
    <row r="64" spans="1:6" s="36" customFormat="1" ht="24" customHeight="1">
      <c r="A64" s="261" t="s">
        <v>220</v>
      </c>
      <c r="B64" s="259" t="s">
        <v>369</v>
      </c>
      <c r="C64" s="260" t="s">
        <v>206</v>
      </c>
      <c r="D64" s="51">
        <f t="shared" si="15"/>
        <v>4955</v>
      </c>
      <c r="E64" s="51">
        <f t="shared" si="15"/>
        <v>4955</v>
      </c>
      <c r="F64" s="51">
        <f t="shared" si="15"/>
        <v>0</v>
      </c>
    </row>
    <row r="65" spans="1:6" s="36" customFormat="1" ht="12.75" customHeight="1">
      <c r="A65" s="262" t="s">
        <v>221</v>
      </c>
      <c r="B65" s="259" t="s">
        <v>369</v>
      </c>
      <c r="C65" s="260" t="s">
        <v>222</v>
      </c>
      <c r="D65" s="51">
        <v>4955</v>
      </c>
      <c r="E65" s="51">
        <v>4955</v>
      </c>
      <c r="F65" s="51">
        <f>D65-E65</f>
        <v>0</v>
      </c>
    </row>
    <row r="66" spans="1:6" s="36" customFormat="1" ht="12.75">
      <c r="A66" s="263" t="s">
        <v>323</v>
      </c>
      <c r="B66" s="259" t="s">
        <v>33</v>
      </c>
      <c r="C66" s="260"/>
      <c r="D66" s="51">
        <f aca="true" t="shared" si="16" ref="D66:F67">D67</f>
        <v>1038.138</v>
      </c>
      <c r="E66" s="51">
        <f t="shared" si="16"/>
        <v>1038.138</v>
      </c>
      <c r="F66" s="51">
        <f t="shared" si="16"/>
        <v>0</v>
      </c>
    </row>
    <row r="67" spans="1:6" s="36" customFormat="1" ht="26.25" customHeight="1">
      <c r="A67" s="261" t="s">
        <v>220</v>
      </c>
      <c r="B67" s="259" t="s">
        <v>33</v>
      </c>
      <c r="C67" s="260" t="s">
        <v>206</v>
      </c>
      <c r="D67" s="51">
        <f t="shared" si="16"/>
        <v>1038.138</v>
      </c>
      <c r="E67" s="51">
        <f t="shared" si="16"/>
        <v>1038.138</v>
      </c>
      <c r="F67" s="51">
        <f t="shared" si="16"/>
        <v>0</v>
      </c>
    </row>
    <row r="68" spans="1:9" s="36" customFormat="1" ht="12.75" customHeight="1">
      <c r="A68" s="262" t="s">
        <v>221</v>
      </c>
      <c r="B68" s="259" t="s">
        <v>33</v>
      </c>
      <c r="C68" s="260" t="s">
        <v>222</v>
      </c>
      <c r="D68" s="51">
        <v>1038.138</v>
      </c>
      <c r="E68" s="51">
        <v>1038.138</v>
      </c>
      <c r="F68" s="51">
        <f>D68-E68</f>
        <v>0</v>
      </c>
      <c r="I68" s="23"/>
    </row>
    <row r="69" spans="1:6" s="36" customFormat="1" ht="24">
      <c r="A69" s="263" t="s">
        <v>324</v>
      </c>
      <c r="B69" s="259" t="s">
        <v>34</v>
      </c>
      <c r="C69" s="260"/>
      <c r="D69" s="51">
        <f>D73+D70</f>
        <v>158.8</v>
      </c>
      <c r="E69" s="51">
        <f>E73+E70</f>
        <v>315.6</v>
      </c>
      <c r="F69" s="51">
        <f>F73+F70</f>
        <v>-156.8</v>
      </c>
    </row>
    <row r="70" spans="1:6" s="36" customFormat="1" ht="12.75" customHeight="1">
      <c r="A70" s="266" t="s">
        <v>102</v>
      </c>
      <c r="B70" s="259" t="s">
        <v>34</v>
      </c>
      <c r="C70" s="260" t="s">
        <v>98</v>
      </c>
      <c r="D70" s="51">
        <f>D71+D72</f>
        <v>5</v>
      </c>
      <c r="E70" s="51">
        <f>E71+E72</f>
        <v>161.8</v>
      </c>
      <c r="F70" s="51">
        <f>F71+F72</f>
        <v>-156.8</v>
      </c>
    </row>
    <row r="71" spans="1:6" s="36" customFormat="1" ht="12.75" customHeight="1">
      <c r="A71" s="262" t="s">
        <v>97</v>
      </c>
      <c r="B71" s="259" t="s">
        <v>34</v>
      </c>
      <c r="C71" s="260" t="s">
        <v>99</v>
      </c>
      <c r="D71" s="51">
        <f>89.4-89.4</f>
        <v>0</v>
      </c>
      <c r="E71" s="51">
        <v>89.4</v>
      </c>
      <c r="F71" s="51">
        <f>D71-E71</f>
        <v>-89.4</v>
      </c>
    </row>
    <row r="72" spans="1:9" s="36" customFormat="1" ht="12.75" customHeight="1">
      <c r="A72" s="264" t="s">
        <v>275</v>
      </c>
      <c r="B72" s="259" t="s">
        <v>34</v>
      </c>
      <c r="C72" s="260" t="s">
        <v>274</v>
      </c>
      <c r="D72" s="51">
        <f>72.4-67.4</f>
        <v>5</v>
      </c>
      <c r="E72" s="51">
        <v>72.4</v>
      </c>
      <c r="F72" s="51">
        <f>D72-E72</f>
        <v>-67.4</v>
      </c>
      <c r="I72" s="23"/>
    </row>
    <row r="73" spans="1:6" s="36" customFormat="1" ht="24" customHeight="1">
      <c r="A73" s="261" t="s">
        <v>220</v>
      </c>
      <c r="B73" s="259" t="s">
        <v>34</v>
      </c>
      <c r="C73" s="260" t="s">
        <v>206</v>
      </c>
      <c r="D73" s="51">
        <f>D74</f>
        <v>153.8</v>
      </c>
      <c r="E73" s="51">
        <f>E74</f>
        <v>153.8</v>
      </c>
      <c r="F73" s="51">
        <f>F74</f>
        <v>0</v>
      </c>
    </row>
    <row r="74" spans="1:6" s="36" customFormat="1" ht="12.75" customHeight="1">
      <c r="A74" s="262" t="s">
        <v>221</v>
      </c>
      <c r="B74" s="259" t="s">
        <v>34</v>
      </c>
      <c r="C74" s="260" t="s">
        <v>222</v>
      </c>
      <c r="D74" s="51">
        <v>153.8</v>
      </c>
      <c r="E74" s="51">
        <v>153.8</v>
      </c>
      <c r="F74" s="51">
        <f>D74-E74</f>
        <v>0</v>
      </c>
    </row>
    <row r="75" spans="1:6" s="36" customFormat="1" ht="12.75">
      <c r="A75" s="263" t="s">
        <v>325</v>
      </c>
      <c r="B75" s="259" t="s">
        <v>35</v>
      </c>
      <c r="C75" s="260"/>
      <c r="D75" s="51">
        <f aca="true" t="shared" si="17" ref="D75:F76">D76</f>
        <v>4168.1</v>
      </c>
      <c r="E75" s="51">
        <f t="shared" si="17"/>
        <v>4168.1</v>
      </c>
      <c r="F75" s="51">
        <f t="shared" si="17"/>
        <v>0</v>
      </c>
    </row>
    <row r="76" spans="1:6" s="36" customFormat="1" ht="24" customHeight="1">
      <c r="A76" s="261" t="s">
        <v>220</v>
      </c>
      <c r="B76" s="259" t="s">
        <v>35</v>
      </c>
      <c r="C76" s="260" t="s">
        <v>206</v>
      </c>
      <c r="D76" s="51">
        <f t="shared" si="17"/>
        <v>4168.1</v>
      </c>
      <c r="E76" s="51">
        <f t="shared" si="17"/>
        <v>4168.1</v>
      </c>
      <c r="F76" s="51">
        <f t="shared" si="17"/>
        <v>0</v>
      </c>
    </row>
    <row r="77" spans="1:6" s="36" customFormat="1" ht="12.75" customHeight="1">
      <c r="A77" s="262" t="s">
        <v>221</v>
      </c>
      <c r="B77" s="259" t="s">
        <v>35</v>
      </c>
      <c r="C77" s="260" t="s">
        <v>222</v>
      </c>
      <c r="D77" s="51">
        <f>3781.3-13.2+400</f>
        <v>4168.1</v>
      </c>
      <c r="E77" s="51">
        <f>3781.3-13.2+400</f>
        <v>4168.1</v>
      </c>
      <c r="F77" s="51">
        <f>D77-E77</f>
        <v>0</v>
      </c>
    </row>
    <row r="78" spans="1:6" s="36" customFormat="1" ht="12.75">
      <c r="A78" s="262" t="s">
        <v>430</v>
      </c>
      <c r="B78" s="259" t="s">
        <v>575</v>
      </c>
      <c r="C78" s="260"/>
      <c r="D78" s="51">
        <f aca="true" t="shared" si="18" ref="D78:F79">D79</f>
        <v>37</v>
      </c>
      <c r="E78" s="51">
        <f t="shared" si="18"/>
        <v>37</v>
      </c>
      <c r="F78" s="51">
        <f t="shared" si="18"/>
        <v>0</v>
      </c>
    </row>
    <row r="79" spans="1:6" s="36" customFormat="1" ht="24" customHeight="1">
      <c r="A79" s="261" t="s">
        <v>220</v>
      </c>
      <c r="B79" s="259" t="s">
        <v>575</v>
      </c>
      <c r="C79" s="260" t="s">
        <v>206</v>
      </c>
      <c r="D79" s="51">
        <f t="shared" si="18"/>
        <v>37</v>
      </c>
      <c r="E79" s="51">
        <f t="shared" si="18"/>
        <v>37</v>
      </c>
      <c r="F79" s="51">
        <f t="shared" si="18"/>
        <v>0</v>
      </c>
    </row>
    <row r="80" spans="1:6" s="36" customFormat="1" ht="12.75" customHeight="1">
      <c r="A80" s="262" t="s">
        <v>221</v>
      </c>
      <c r="B80" s="259" t="s">
        <v>575</v>
      </c>
      <c r="C80" s="260" t="s">
        <v>222</v>
      </c>
      <c r="D80" s="51">
        <v>37</v>
      </c>
      <c r="E80" s="51">
        <v>37</v>
      </c>
      <c r="F80" s="51">
        <f>D80-E80</f>
        <v>0</v>
      </c>
    </row>
    <row r="81" spans="1:6" s="36" customFormat="1" ht="12.75">
      <c r="A81" s="263" t="s">
        <v>309</v>
      </c>
      <c r="B81" s="259" t="s">
        <v>310</v>
      </c>
      <c r="C81" s="260"/>
      <c r="D81" s="51">
        <f aca="true" t="shared" si="19" ref="D81:F82">D82</f>
        <v>1969.2</v>
      </c>
      <c r="E81" s="51">
        <f t="shared" si="19"/>
        <v>2199.3</v>
      </c>
      <c r="F81" s="51">
        <f t="shared" si="19"/>
        <v>-230.10000000000014</v>
      </c>
    </row>
    <row r="82" spans="1:6" s="36" customFormat="1" ht="24" customHeight="1">
      <c r="A82" s="261" t="s">
        <v>220</v>
      </c>
      <c r="B82" s="259" t="s">
        <v>310</v>
      </c>
      <c r="C82" s="260" t="s">
        <v>206</v>
      </c>
      <c r="D82" s="51">
        <f t="shared" si="19"/>
        <v>1969.2</v>
      </c>
      <c r="E82" s="51">
        <f t="shared" si="19"/>
        <v>2199.3</v>
      </c>
      <c r="F82" s="51">
        <f t="shared" si="19"/>
        <v>-230.10000000000014</v>
      </c>
    </row>
    <row r="83" spans="1:6" s="36" customFormat="1" ht="12.75" customHeight="1">
      <c r="A83" s="262" t="s">
        <v>221</v>
      </c>
      <c r="B83" s="259" t="s">
        <v>310</v>
      </c>
      <c r="C83" s="260" t="s">
        <v>222</v>
      </c>
      <c r="D83" s="51">
        <f>2046.9-77.7</f>
        <v>1969.2</v>
      </c>
      <c r="E83" s="51">
        <f>2200-0.5-0.2</f>
        <v>2199.3</v>
      </c>
      <c r="F83" s="51">
        <f>D83-E83</f>
        <v>-230.10000000000014</v>
      </c>
    </row>
    <row r="84" spans="1:6" s="20" customFormat="1" ht="24">
      <c r="A84" s="262" t="s">
        <v>519</v>
      </c>
      <c r="B84" s="259" t="s">
        <v>520</v>
      </c>
      <c r="C84" s="260"/>
      <c r="D84" s="51">
        <f aca="true" t="shared" si="20" ref="D84:F85">D85</f>
        <v>22583.3</v>
      </c>
      <c r="E84" s="51">
        <f t="shared" si="20"/>
        <v>22583.3</v>
      </c>
      <c r="F84" s="51">
        <f t="shared" si="20"/>
        <v>0</v>
      </c>
    </row>
    <row r="85" spans="1:6" s="20" customFormat="1" ht="24" customHeight="1">
      <c r="A85" s="262" t="s">
        <v>220</v>
      </c>
      <c r="B85" s="259" t="s">
        <v>520</v>
      </c>
      <c r="C85" s="260" t="s">
        <v>206</v>
      </c>
      <c r="D85" s="51">
        <f t="shared" si="20"/>
        <v>22583.3</v>
      </c>
      <c r="E85" s="51">
        <f t="shared" si="20"/>
        <v>22583.3</v>
      </c>
      <c r="F85" s="51">
        <f t="shared" si="20"/>
        <v>0</v>
      </c>
    </row>
    <row r="86" spans="1:6" s="20" customFormat="1" ht="12.75" customHeight="1">
      <c r="A86" s="262" t="s">
        <v>221</v>
      </c>
      <c r="B86" s="259" t="s">
        <v>520</v>
      </c>
      <c r="C86" s="260" t="s">
        <v>222</v>
      </c>
      <c r="D86" s="51">
        <v>22583.3</v>
      </c>
      <c r="E86" s="51">
        <v>22583.3</v>
      </c>
      <c r="F86" s="51">
        <f>D86-E86</f>
        <v>0</v>
      </c>
    </row>
    <row r="87" spans="1:6" s="20" customFormat="1" ht="12.75" customHeight="1">
      <c r="A87" s="359" t="s">
        <v>671</v>
      </c>
      <c r="B87" s="268" t="s">
        <v>670</v>
      </c>
      <c r="C87" s="259"/>
      <c r="D87" s="51">
        <f aca="true" t="shared" si="21" ref="D87:F91">D88</f>
        <v>484</v>
      </c>
      <c r="E87" s="51">
        <f t="shared" si="21"/>
        <v>484</v>
      </c>
      <c r="F87" s="51">
        <f t="shared" si="21"/>
        <v>0</v>
      </c>
    </row>
    <row r="88" spans="1:6" s="20" customFormat="1" ht="12.75" customHeight="1">
      <c r="A88" s="261" t="s">
        <v>220</v>
      </c>
      <c r="B88" s="268" t="s">
        <v>670</v>
      </c>
      <c r="C88" s="259" t="s">
        <v>206</v>
      </c>
      <c r="D88" s="51">
        <f t="shared" si="21"/>
        <v>484</v>
      </c>
      <c r="E88" s="51">
        <f t="shared" si="21"/>
        <v>484</v>
      </c>
      <c r="F88" s="51">
        <f t="shared" si="21"/>
        <v>0</v>
      </c>
    </row>
    <row r="89" spans="1:6" s="20" customFormat="1" ht="12.75" customHeight="1">
      <c r="A89" s="348" t="s">
        <v>221</v>
      </c>
      <c r="B89" s="268" t="s">
        <v>670</v>
      </c>
      <c r="C89" s="259" t="s">
        <v>222</v>
      </c>
      <c r="D89" s="51">
        <v>484</v>
      </c>
      <c r="E89" s="51">
        <v>484</v>
      </c>
      <c r="F89" s="51">
        <f>D89-E89</f>
        <v>0</v>
      </c>
    </row>
    <row r="90" spans="1:6" s="20" customFormat="1" ht="164.25" customHeight="1">
      <c r="A90" s="359" t="s">
        <v>692</v>
      </c>
      <c r="B90" s="268" t="s">
        <v>693</v>
      </c>
      <c r="C90" s="259"/>
      <c r="D90" s="51">
        <f t="shared" si="21"/>
        <v>14.7</v>
      </c>
      <c r="E90" s="51">
        <f t="shared" si="21"/>
        <v>14.7</v>
      </c>
      <c r="F90" s="51">
        <f t="shared" si="21"/>
        <v>0</v>
      </c>
    </row>
    <row r="91" spans="1:6" s="20" customFormat="1" ht="12.75" customHeight="1">
      <c r="A91" s="261" t="s">
        <v>220</v>
      </c>
      <c r="B91" s="268" t="s">
        <v>693</v>
      </c>
      <c r="C91" s="259" t="s">
        <v>206</v>
      </c>
      <c r="D91" s="51">
        <f t="shared" si="21"/>
        <v>14.7</v>
      </c>
      <c r="E91" s="51">
        <f t="shared" si="21"/>
        <v>14.7</v>
      </c>
      <c r="F91" s="51">
        <f t="shared" si="21"/>
        <v>0</v>
      </c>
    </row>
    <row r="92" spans="1:6" s="20" customFormat="1" ht="12.75" customHeight="1">
      <c r="A92" s="348" t="s">
        <v>221</v>
      </c>
      <c r="B92" s="268" t="s">
        <v>693</v>
      </c>
      <c r="C92" s="259" t="s">
        <v>222</v>
      </c>
      <c r="D92" s="51">
        <v>14.7</v>
      </c>
      <c r="E92" s="51">
        <v>14.7</v>
      </c>
      <c r="F92" s="51">
        <f>D92-E92</f>
        <v>0</v>
      </c>
    </row>
    <row r="93" spans="1:6" s="20" customFormat="1" ht="24">
      <c r="A93" s="264" t="s">
        <v>650</v>
      </c>
      <c r="B93" s="268" t="s">
        <v>649</v>
      </c>
      <c r="C93" s="259"/>
      <c r="D93" s="51">
        <f aca="true" t="shared" si="22" ref="D93:F94">D94</f>
        <v>2276</v>
      </c>
      <c r="E93" s="51">
        <f t="shared" si="22"/>
        <v>2276</v>
      </c>
      <c r="F93" s="51">
        <f t="shared" si="22"/>
        <v>0</v>
      </c>
    </row>
    <row r="94" spans="1:6" s="20" customFormat="1" ht="12.75" customHeight="1">
      <c r="A94" s="261" t="s">
        <v>220</v>
      </c>
      <c r="B94" s="268" t="s">
        <v>649</v>
      </c>
      <c r="C94" s="259" t="s">
        <v>206</v>
      </c>
      <c r="D94" s="51">
        <f t="shared" si="22"/>
        <v>2276</v>
      </c>
      <c r="E94" s="51">
        <f t="shared" si="22"/>
        <v>2276</v>
      </c>
      <c r="F94" s="51">
        <f t="shared" si="22"/>
        <v>0</v>
      </c>
    </row>
    <row r="95" spans="1:6" s="20" customFormat="1" ht="12.75" customHeight="1">
      <c r="A95" s="348" t="s">
        <v>221</v>
      </c>
      <c r="B95" s="268" t="s">
        <v>649</v>
      </c>
      <c r="C95" s="259" t="s">
        <v>222</v>
      </c>
      <c r="D95" s="51">
        <v>2276</v>
      </c>
      <c r="E95" s="51">
        <v>2276</v>
      </c>
      <c r="F95" s="51">
        <f>D95-E95</f>
        <v>0</v>
      </c>
    </row>
    <row r="96" spans="1:6" s="20" customFormat="1" ht="34.5" customHeight="1">
      <c r="A96" s="264" t="s">
        <v>665</v>
      </c>
      <c r="B96" s="259" t="s">
        <v>666</v>
      </c>
      <c r="C96" s="260"/>
      <c r="D96" s="321">
        <f aca="true" t="shared" si="23" ref="D96:F97">D97</f>
        <v>1094</v>
      </c>
      <c r="E96" s="321">
        <f t="shared" si="23"/>
        <v>1094</v>
      </c>
      <c r="F96" s="321">
        <f t="shared" si="23"/>
        <v>0</v>
      </c>
    </row>
    <row r="97" spans="1:6" s="20" customFormat="1" ht="24.75" customHeight="1">
      <c r="A97" s="261" t="s">
        <v>220</v>
      </c>
      <c r="B97" s="259" t="s">
        <v>666</v>
      </c>
      <c r="C97" s="260" t="s">
        <v>206</v>
      </c>
      <c r="D97" s="321">
        <f t="shared" si="23"/>
        <v>1094</v>
      </c>
      <c r="E97" s="321">
        <f t="shared" si="23"/>
        <v>1094</v>
      </c>
      <c r="F97" s="321">
        <f t="shared" si="23"/>
        <v>0</v>
      </c>
    </row>
    <row r="98" spans="1:6" s="20" customFormat="1" ht="12.75" customHeight="1">
      <c r="A98" s="262" t="s">
        <v>221</v>
      </c>
      <c r="B98" s="259" t="s">
        <v>666</v>
      </c>
      <c r="C98" s="260" t="s">
        <v>222</v>
      </c>
      <c r="D98" s="321">
        <v>1094</v>
      </c>
      <c r="E98" s="321">
        <v>1094</v>
      </c>
      <c r="F98" s="51">
        <f aca="true" t="shared" si="24" ref="F98:F104">D98-E98</f>
        <v>0</v>
      </c>
    </row>
    <row r="99" spans="1:6" s="20" customFormat="1" ht="12.75">
      <c r="A99" s="264" t="s">
        <v>680</v>
      </c>
      <c r="B99" s="259" t="s">
        <v>688</v>
      </c>
      <c r="C99" s="260"/>
      <c r="D99" s="51">
        <f>D100</f>
        <v>6712.4</v>
      </c>
      <c r="E99" s="51">
        <f>E100</f>
        <v>6712.4</v>
      </c>
      <c r="F99" s="51">
        <f t="shared" si="24"/>
        <v>0</v>
      </c>
    </row>
    <row r="100" spans="1:6" s="20" customFormat="1" ht="24" customHeight="1">
      <c r="A100" s="261" t="s">
        <v>220</v>
      </c>
      <c r="B100" s="259" t="s">
        <v>688</v>
      </c>
      <c r="C100" s="260" t="s">
        <v>206</v>
      </c>
      <c r="D100" s="51">
        <f>D101</f>
        <v>6712.4</v>
      </c>
      <c r="E100" s="51">
        <f>E101</f>
        <v>6712.4</v>
      </c>
      <c r="F100" s="51">
        <f t="shared" si="24"/>
        <v>0</v>
      </c>
    </row>
    <row r="101" spans="1:6" s="20" customFormat="1" ht="12.75" customHeight="1">
      <c r="A101" s="262" t="s">
        <v>221</v>
      </c>
      <c r="B101" s="259" t="s">
        <v>688</v>
      </c>
      <c r="C101" s="260" t="s">
        <v>222</v>
      </c>
      <c r="D101" s="51">
        <v>6712.4</v>
      </c>
      <c r="E101" s="51">
        <v>6712.4</v>
      </c>
      <c r="F101" s="51">
        <f t="shared" si="24"/>
        <v>0</v>
      </c>
    </row>
    <row r="102" spans="1:6" s="20" customFormat="1" ht="12.75">
      <c r="A102" s="264" t="s">
        <v>619</v>
      </c>
      <c r="B102" s="259" t="s">
        <v>618</v>
      </c>
      <c r="C102" s="260"/>
      <c r="D102" s="51">
        <f>D103</f>
        <v>8790.7</v>
      </c>
      <c r="E102" s="51">
        <f>E103</f>
        <v>8790.7</v>
      </c>
      <c r="F102" s="51">
        <f t="shared" si="24"/>
        <v>0</v>
      </c>
    </row>
    <row r="103" spans="1:6" s="20" customFormat="1" ht="24" customHeight="1">
      <c r="A103" s="261" t="s">
        <v>220</v>
      </c>
      <c r="B103" s="259" t="s">
        <v>618</v>
      </c>
      <c r="C103" s="260" t="s">
        <v>206</v>
      </c>
      <c r="D103" s="51">
        <f>D104</f>
        <v>8790.7</v>
      </c>
      <c r="E103" s="51">
        <f>E104</f>
        <v>8790.7</v>
      </c>
      <c r="F103" s="51">
        <f t="shared" si="24"/>
        <v>0</v>
      </c>
    </row>
    <row r="104" spans="1:6" s="20" customFormat="1" ht="12.75" customHeight="1">
      <c r="A104" s="262" t="s">
        <v>221</v>
      </c>
      <c r="B104" s="259" t="s">
        <v>618</v>
      </c>
      <c r="C104" s="260" t="s">
        <v>222</v>
      </c>
      <c r="D104" s="51">
        <v>8790.7</v>
      </c>
      <c r="E104" s="51">
        <v>8790.7</v>
      </c>
      <c r="F104" s="51">
        <f t="shared" si="24"/>
        <v>0</v>
      </c>
    </row>
    <row r="105" spans="1:6" s="36" customFormat="1" ht="48">
      <c r="A105" s="264" t="s">
        <v>295</v>
      </c>
      <c r="B105" s="259" t="s">
        <v>290</v>
      </c>
      <c r="C105" s="260"/>
      <c r="D105" s="321">
        <f aca="true" t="shared" si="25" ref="D105:F106">D106</f>
        <v>5373.1</v>
      </c>
      <c r="E105" s="321">
        <f t="shared" si="25"/>
        <v>5373.1</v>
      </c>
      <c r="F105" s="321">
        <f t="shared" si="25"/>
        <v>0</v>
      </c>
    </row>
    <row r="106" spans="1:6" s="36" customFormat="1" ht="24" customHeight="1">
      <c r="A106" s="261" t="s">
        <v>220</v>
      </c>
      <c r="B106" s="259" t="s">
        <v>290</v>
      </c>
      <c r="C106" s="260" t="s">
        <v>206</v>
      </c>
      <c r="D106" s="321">
        <f t="shared" si="25"/>
        <v>5373.1</v>
      </c>
      <c r="E106" s="321">
        <f t="shared" si="25"/>
        <v>5373.1</v>
      </c>
      <c r="F106" s="321">
        <f t="shared" si="25"/>
        <v>0</v>
      </c>
    </row>
    <row r="107" spans="1:6" s="36" customFormat="1" ht="12.75" customHeight="1">
      <c r="A107" s="262" t="s">
        <v>221</v>
      </c>
      <c r="B107" s="259" t="s">
        <v>290</v>
      </c>
      <c r="C107" s="260" t="s">
        <v>222</v>
      </c>
      <c r="D107" s="321">
        <f>4087+1286.1</f>
        <v>5373.1</v>
      </c>
      <c r="E107" s="321">
        <f>4087+1286.1</f>
        <v>5373.1</v>
      </c>
      <c r="F107" s="51">
        <f>D107-E107</f>
        <v>0</v>
      </c>
    </row>
    <row r="108" spans="1:6" ht="16.5" customHeight="1">
      <c r="A108" s="263" t="s">
        <v>333</v>
      </c>
      <c r="B108" s="259" t="s">
        <v>43</v>
      </c>
      <c r="C108" s="260"/>
      <c r="D108" s="321">
        <f aca="true" t="shared" si="26" ref="D108:F109">D109</f>
        <v>247743.4</v>
      </c>
      <c r="E108" s="321">
        <f t="shared" si="26"/>
        <v>236562.2</v>
      </c>
      <c r="F108" s="321">
        <f t="shared" si="26"/>
        <v>11181.199999999983</v>
      </c>
    </row>
    <row r="109" spans="1:6" ht="27" customHeight="1">
      <c r="A109" s="261" t="s">
        <v>220</v>
      </c>
      <c r="B109" s="259" t="s">
        <v>43</v>
      </c>
      <c r="C109" s="260" t="s">
        <v>206</v>
      </c>
      <c r="D109" s="321">
        <f t="shared" si="26"/>
        <v>247743.4</v>
      </c>
      <c r="E109" s="321">
        <f t="shared" si="26"/>
        <v>236562.2</v>
      </c>
      <c r="F109" s="321">
        <f t="shared" si="26"/>
        <v>11181.199999999983</v>
      </c>
    </row>
    <row r="110" spans="1:6" ht="13.5" customHeight="1">
      <c r="A110" s="262" t="s">
        <v>221</v>
      </c>
      <c r="B110" s="259" t="s">
        <v>43</v>
      </c>
      <c r="C110" s="260" t="s">
        <v>222</v>
      </c>
      <c r="D110" s="51">
        <v>247743.4</v>
      </c>
      <c r="E110" s="51">
        <v>236562.2</v>
      </c>
      <c r="F110" s="51">
        <f>D110-E110</f>
        <v>11181.199999999983</v>
      </c>
    </row>
    <row r="111" spans="1:6" ht="23.25" customHeight="1">
      <c r="A111" s="267" t="s">
        <v>647</v>
      </c>
      <c r="B111" s="268" t="s">
        <v>646</v>
      </c>
      <c r="C111" s="259"/>
      <c r="D111" s="51">
        <f>D112</f>
        <v>5471.6</v>
      </c>
      <c r="E111" s="51">
        <f>E112</f>
        <v>5471.6</v>
      </c>
      <c r="F111" s="51">
        <f>D111-E111</f>
        <v>0</v>
      </c>
    </row>
    <row r="112" spans="1:6" ht="24" customHeight="1">
      <c r="A112" s="261" t="s">
        <v>220</v>
      </c>
      <c r="B112" s="268" t="s">
        <v>646</v>
      </c>
      <c r="C112" s="259" t="s">
        <v>206</v>
      </c>
      <c r="D112" s="51">
        <f>D113</f>
        <v>5471.6</v>
      </c>
      <c r="E112" s="51">
        <f>E113</f>
        <v>5471.6</v>
      </c>
      <c r="F112" s="51">
        <f>D112-E112</f>
        <v>0</v>
      </c>
    </row>
    <row r="113" spans="1:6" ht="13.5" customHeight="1">
      <c r="A113" s="261" t="s">
        <v>221</v>
      </c>
      <c r="B113" s="268" t="s">
        <v>646</v>
      </c>
      <c r="C113" s="259" t="s">
        <v>222</v>
      </c>
      <c r="D113" s="51">
        <v>5471.6</v>
      </c>
      <c r="E113" s="51">
        <v>5471.6</v>
      </c>
      <c r="F113" s="51">
        <f>D113-E113</f>
        <v>0</v>
      </c>
    </row>
    <row r="114" spans="1:6" s="36" customFormat="1" ht="24">
      <c r="A114" s="262" t="s">
        <v>444</v>
      </c>
      <c r="B114" s="259" t="s">
        <v>568</v>
      </c>
      <c r="C114" s="260"/>
      <c r="D114" s="51">
        <f aca="true" t="shared" si="27" ref="D114:F115">D115</f>
        <v>17515.75</v>
      </c>
      <c r="E114" s="51">
        <f t="shared" si="27"/>
        <v>17515.75</v>
      </c>
      <c r="F114" s="51">
        <f t="shared" si="27"/>
        <v>0</v>
      </c>
    </row>
    <row r="115" spans="1:6" s="36" customFormat="1" ht="24" customHeight="1">
      <c r="A115" s="262" t="s">
        <v>317</v>
      </c>
      <c r="B115" s="259" t="s">
        <v>568</v>
      </c>
      <c r="C115" s="260" t="s">
        <v>206</v>
      </c>
      <c r="D115" s="51">
        <f t="shared" si="27"/>
        <v>17515.75</v>
      </c>
      <c r="E115" s="51">
        <f t="shared" si="27"/>
        <v>17515.75</v>
      </c>
      <c r="F115" s="51">
        <f t="shared" si="27"/>
        <v>0</v>
      </c>
    </row>
    <row r="116" spans="1:6" s="36" customFormat="1" ht="12.75" customHeight="1">
      <c r="A116" s="262" t="s">
        <v>221</v>
      </c>
      <c r="B116" s="259" t="s">
        <v>568</v>
      </c>
      <c r="C116" s="260" t="s">
        <v>222</v>
      </c>
      <c r="D116" s="51">
        <v>17515.75</v>
      </c>
      <c r="E116" s="51">
        <v>17515.75</v>
      </c>
      <c r="F116" s="51">
        <f>D116-E116</f>
        <v>0</v>
      </c>
    </row>
    <row r="117" spans="1:6" s="36" customFormat="1" ht="12.75">
      <c r="A117" s="264" t="s">
        <v>620</v>
      </c>
      <c r="B117" s="259" t="s">
        <v>621</v>
      </c>
      <c r="C117" s="260"/>
      <c r="D117" s="51">
        <f>D118</f>
        <v>132858.7</v>
      </c>
      <c r="E117" s="51">
        <f>E118</f>
        <v>132858.7</v>
      </c>
      <c r="F117" s="51">
        <f>D117-E117</f>
        <v>0</v>
      </c>
    </row>
    <row r="118" spans="1:6" s="36" customFormat="1" ht="24" customHeight="1">
      <c r="A118" s="261" t="s">
        <v>220</v>
      </c>
      <c r="B118" s="259" t="s">
        <v>621</v>
      </c>
      <c r="C118" s="260" t="s">
        <v>206</v>
      </c>
      <c r="D118" s="51">
        <f>D119</f>
        <v>132858.7</v>
      </c>
      <c r="E118" s="51">
        <f>E119</f>
        <v>132858.7</v>
      </c>
      <c r="F118" s="51">
        <f>D118-E118</f>
        <v>0</v>
      </c>
    </row>
    <row r="119" spans="1:6" s="36" customFormat="1" ht="12.75" customHeight="1">
      <c r="A119" s="262" t="s">
        <v>221</v>
      </c>
      <c r="B119" s="259" t="s">
        <v>621</v>
      </c>
      <c r="C119" s="260" t="s">
        <v>222</v>
      </c>
      <c r="D119" s="51">
        <f>118066.3+11094.3+3698.1</f>
        <v>132858.7</v>
      </c>
      <c r="E119" s="51">
        <f>118066.3+11094.3+3698.1</f>
        <v>132858.7</v>
      </c>
      <c r="F119" s="51">
        <f>D119-E119</f>
        <v>0</v>
      </c>
    </row>
    <row r="120" spans="1:6" s="36" customFormat="1" ht="24">
      <c r="A120" s="269" t="s">
        <v>632</v>
      </c>
      <c r="B120" s="259" t="s">
        <v>631</v>
      </c>
      <c r="C120" s="260"/>
      <c r="D120" s="51">
        <f>D121</f>
        <v>21632.8</v>
      </c>
      <c r="E120" s="51">
        <f>E121</f>
        <v>21632.8</v>
      </c>
      <c r="F120" s="51">
        <f>F121</f>
        <v>0</v>
      </c>
    </row>
    <row r="121" spans="1:6" s="36" customFormat="1" ht="12.75">
      <c r="A121" s="262" t="s">
        <v>265</v>
      </c>
      <c r="B121" s="259" t="s">
        <v>631</v>
      </c>
      <c r="C121" s="260" t="s">
        <v>229</v>
      </c>
      <c r="D121" s="51">
        <f>D122</f>
        <v>21632.8</v>
      </c>
      <c r="E121" s="51">
        <f>E122</f>
        <v>21632.8</v>
      </c>
      <c r="F121" s="51">
        <f>D121-E121</f>
        <v>0</v>
      </c>
    </row>
    <row r="122" spans="1:6" s="36" customFormat="1" ht="48">
      <c r="A122" s="262" t="s">
        <v>654</v>
      </c>
      <c r="B122" s="259" t="s">
        <v>631</v>
      </c>
      <c r="C122" s="260" t="s">
        <v>653</v>
      </c>
      <c r="D122" s="51">
        <v>21632.8</v>
      </c>
      <c r="E122" s="51">
        <v>21632.8</v>
      </c>
      <c r="F122" s="51">
        <f>D122-E122</f>
        <v>0</v>
      </c>
    </row>
    <row r="123" spans="1:6" s="36" customFormat="1" ht="48">
      <c r="A123" s="262" t="s">
        <v>565</v>
      </c>
      <c r="B123" s="268" t="s">
        <v>672</v>
      </c>
      <c r="C123" s="260"/>
      <c r="D123" s="51">
        <f aca="true" t="shared" si="28" ref="D123:F124">D124</f>
        <v>9.68</v>
      </c>
      <c r="E123" s="51">
        <f t="shared" si="28"/>
        <v>9.68</v>
      </c>
      <c r="F123" s="51">
        <f t="shared" si="28"/>
        <v>0</v>
      </c>
    </row>
    <row r="124" spans="1:6" s="36" customFormat="1" ht="24">
      <c r="A124" s="261" t="s">
        <v>220</v>
      </c>
      <c r="B124" s="268" t="s">
        <v>672</v>
      </c>
      <c r="C124" s="260" t="s">
        <v>206</v>
      </c>
      <c r="D124" s="51">
        <f t="shared" si="28"/>
        <v>9.68</v>
      </c>
      <c r="E124" s="51">
        <f t="shared" si="28"/>
        <v>9.68</v>
      </c>
      <c r="F124" s="51">
        <f t="shared" si="28"/>
        <v>0</v>
      </c>
    </row>
    <row r="125" spans="1:6" s="36" customFormat="1" ht="12.75">
      <c r="A125" s="262" t="s">
        <v>221</v>
      </c>
      <c r="B125" s="268" t="s">
        <v>672</v>
      </c>
      <c r="C125" s="260" t="s">
        <v>222</v>
      </c>
      <c r="D125" s="51">
        <v>9.68</v>
      </c>
      <c r="E125" s="51">
        <v>9.68</v>
      </c>
      <c r="F125" s="51">
        <f>D125-E125</f>
        <v>0</v>
      </c>
    </row>
    <row r="126" spans="1:6" s="36" customFormat="1" ht="36">
      <c r="A126" s="262" t="s">
        <v>471</v>
      </c>
      <c r="B126" s="259" t="s">
        <v>470</v>
      </c>
      <c r="C126" s="260"/>
      <c r="D126" s="51">
        <f aca="true" t="shared" si="29" ref="D126:F127">D127</f>
        <v>1771.7</v>
      </c>
      <c r="E126" s="51">
        <f t="shared" si="29"/>
        <v>1771.7</v>
      </c>
      <c r="F126" s="51">
        <f t="shared" si="29"/>
        <v>0</v>
      </c>
    </row>
    <row r="127" spans="1:6" s="36" customFormat="1" ht="24" customHeight="1">
      <c r="A127" s="261" t="s">
        <v>220</v>
      </c>
      <c r="B127" s="259" t="s">
        <v>470</v>
      </c>
      <c r="C127" s="260" t="s">
        <v>206</v>
      </c>
      <c r="D127" s="51">
        <f t="shared" si="29"/>
        <v>1771.7</v>
      </c>
      <c r="E127" s="51">
        <f t="shared" si="29"/>
        <v>1771.7</v>
      </c>
      <c r="F127" s="51">
        <f t="shared" si="29"/>
        <v>0</v>
      </c>
    </row>
    <row r="128" spans="1:6" s="36" customFormat="1" ht="12.75" customHeight="1">
      <c r="A128" s="262" t="s">
        <v>221</v>
      </c>
      <c r="B128" s="259" t="s">
        <v>470</v>
      </c>
      <c r="C128" s="260" t="s">
        <v>222</v>
      </c>
      <c r="D128" s="51">
        <v>1771.7</v>
      </c>
      <c r="E128" s="51">
        <v>1771.7</v>
      </c>
      <c r="F128" s="51">
        <f>D128-E128</f>
        <v>0</v>
      </c>
    </row>
    <row r="129" spans="1:6" s="36" customFormat="1" ht="36">
      <c r="A129" s="262" t="s">
        <v>446</v>
      </c>
      <c r="B129" s="259" t="s">
        <v>445</v>
      </c>
      <c r="C129" s="260"/>
      <c r="D129" s="51">
        <f aca="true" t="shared" si="30" ref="D129:F130">D130</f>
        <v>44.6</v>
      </c>
      <c r="E129" s="51">
        <f t="shared" si="30"/>
        <v>44.6</v>
      </c>
      <c r="F129" s="51">
        <f t="shared" si="30"/>
        <v>0</v>
      </c>
    </row>
    <row r="130" spans="1:6" s="36" customFormat="1" ht="24" customHeight="1">
      <c r="A130" s="262" t="s">
        <v>317</v>
      </c>
      <c r="B130" s="259" t="s">
        <v>445</v>
      </c>
      <c r="C130" s="260" t="s">
        <v>206</v>
      </c>
      <c r="D130" s="51">
        <f t="shared" si="30"/>
        <v>44.6</v>
      </c>
      <c r="E130" s="51">
        <f t="shared" si="30"/>
        <v>44.6</v>
      </c>
      <c r="F130" s="51">
        <f t="shared" si="30"/>
        <v>0</v>
      </c>
    </row>
    <row r="131" spans="1:6" s="36" customFormat="1" ht="12.75" customHeight="1">
      <c r="A131" s="262" t="s">
        <v>221</v>
      </c>
      <c r="B131" s="259" t="s">
        <v>445</v>
      </c>
      <c r="C131" s="260" t="s">
        <v>222</v>
      </c>
      <c r="D131" s="51">
        <f>41.9+2.7</f>
        <v>44.6</v>
      </c>
      <c r="E131" s="51">
        <f>41.9+2.7</f>
        <v>44.6</v>
      </c>
      <c r="F131" s="51">
        <f>D131-E131</f>
        <v>0</v>
      </c>
    </row>
    <row r="132" spans="1:6" s="32" customFormat="1" ht="24">
      <c r="A132" s="262" t="s">
        <v>473</v>
      </c>
      <c r="B132" s="259" t="s">
        <v>472</v>
      </c>
      <c r="C132" s="260"/>
      <c r="D132" s="51">
        <f aca="true" t="shared" si="31" ref="D132:F133">D133</f>
        <v>92</v>
      </c>
      <c r="E132" s="51">
        <f t="shared" si="31"/>
        <v>92</v>
      </c>
      <c r="F132" s="51">
        <f t="shared" si="31"/>
        <v>0</v>
      </c>
    </row>
    <row r="133" spans="1:6" s="32" customFormat="1" ht="12.75">
      <c r="A133" s="266" t="s">
        <v>102</v>
      </c>
      <c r="B133" s="259" t="s">
        <v>472</v>
      </c>
      <c r="C133" s="260" t="s">
        <v>98</v>
      </c>
      <c r="D133" s="51">
        <f t="shared" si="31"/>
        <v>92</v>
      </c>
      <c r="E133" s="51">
        <f t="shared" si="31"/>
        <v>92</v>
      </c>
      <c r="F133" s="51">
        <f t="shared" si="31"/>
        <v>0</v>
      </c>
    </row>
    <row r="134" spans="1:6" s="32" customFormat="1" ht="12.75" customHeight="1">
      <c r="A134" s="262" t="s">
        <v>97</v>
      </c>
      <c r="B134" s="259" t="s">
        <v>472</v>
      </c>
      <c r="C134" s="260" t="s">
        <v>99</v>
      </c>
      <c r="D134" s="51">
        <v>92</v>
      </c>
      <c r="E134" s="51">
        <v>92</v>
      </c>
      <c r="F134" s="51">
        <f>D134-E134</f>
        <v>0</v>
      </c>
    </row>
    <row r="135" spans="1:6" s="36" customFormat="1" ht="48">
      <c r="A135" s="265" t="s">
        <v>298</v>
      </c>
      <c r="B135" s="259" t="s">
        <v>567</v>
      </c>
      <c r="C135" s="260"/>
      <c r="D135" s="51">
        <f aca="true" t="shared" si="32" ref="D135:F136">D136</f>
        <v>219.7</v>
      </c>
      <c r="E135" s="51">
        <f t="shared" si="32"/>
        <v>219.7</v>
      </c>
      <c r="F135" s="51">
        <f t="shared" si="32"/>
        <v>0</v>
      </c>
    </row>
    <row r="136" spans="1:6" s="36" customFormat="1" ht="24" customHeight="1">
      <c r="A136" s="261" t="s">
        <v>220</v>
      </c>
      <c r="B136" s="259" t="s">
        <v>567</v>
      </c>
      <c r="C136" s="260" t="s">
        <v>206</v>
      </c>
      <c r="D136" s="51">
        <f t="shared" si="32"/>
        <v>219.7</v>
      </c>
      <c r="E136" s="51">
        <f t="shared" si="32"/>
        <v>219.7</v>
      </c>
      <c r="F136" s="51">
        <f t="shared" si="32"/>
        <v>0</v>
      </c>
    </row>
    <row r="137" spans="1:6" s="36" customFormat="1" ht="12.75" customHeight="1">
      <c r="A137" s="262" t="s">
        <v>221</v>
      </c>
      <c r="B137" s="259" t="s">
        <v>567</v>
      </c>
      <c r="C137" s="260" t="s">
        <v>222</v>
      </c>
      <c r="D137" s="51">
        <v>219.7</v>
      </c>
      <c r="E137" s="51">
        <v>219.7</v>
      </c>
      <c r="F137" s="51">
        <f>D137-E137</f>
        <v>0</v>
      </c>
    </row>
    <row r="138" spans="1:6" s="36" customFormat="1" ht="36">
      <c r="A138" s="262" t="s">
        <v>297</v>
      </c>
      <c r="B138" s="259" t="s">
        <v>311</v>
      </c>
      <c r="C138" s="260"/>
      <c r="D138" s="51">
        <f aca="true" t="shared" si="33" ref="D138:F145">D139</f>
        <v>514</v>
      </c>
      <c r="E138" s="51">
        <f t="shared" si="33"/>
        <v>514</v>
      </c>
      <c r="F138" s="51">
        <f t="shared" si="33"/>
        <v>0</v>
      </c>
    </row>
    <row r="139" spans="1:6" s="36" customFormat="1" ht="24" customHeight="1">
      <c r="A139" s="262" t="s">
        <v>220</v>
      </c>
      <c r="B139" s="259" t="s">
        <v>311</v>
      </c>
      <c r="C139" s="260" t="s">
        <v>206</v>
      </c>
      <c r="D139" s="51">
        <f t="shared" si="33"/>
        <v>514</v>
      </c>
      <c r="E139" s="51">
        <f t="shared" si="33"/>
        <v>514</v>
      </c>
      <c r="F139" s="51">
        <f t="shared" si="33"/>
        <v>0</v>
      </c>
    </row>
    <row r="140" spans="1:6" s="36" customFormat="1" ht="12.75" customHeight="1">
      <c r="A140" s="262" t="s">
        <v>221</v>
      </c>
      <c r="B140" s="259" t="s">
        <v>311</v>
      </c>
      <c r="C140" s="260" t="s">
        <v>222</v>
      </c>
      <c r="D140" s="51">
        <v>514</v>
      </c>
      <c r="E140" s="51">
        <v>514</v>
      </c>
      <c r="F140" s="51">
        <f>D140-E140</f>
        <v>0</v>
      </c>
    </row>
    <row r="141" spans="1:6" s="36" customFormat="1" ht="24">
      <c r="A141" s="265" t="s">
        <v>634</v>
      </c>
      <c r="B141" s="259" t="s">
        <v>644</v>
      </c>
      <c r="C141" s="260"/>
      <c r="D141" s="51">
        <f t="shared" si="33"/>
        <v>2926.8</v>
      </c>
      <c r="E141" s="51">
        <f t="shared" si="33"/>
        <v>2926.8</v>
      </c>
      <c r="F141" s="51">
        <f t="shared" si="33"/>
        <v>0</v>
      </c>
    </row>
    <row r="142" spans="1:6" s="36" customFormat="1" ht="24" customHeight="1">
      <c r="A142" s="262" t="s">
        <v>220</v>
      </c>
      <c r="B142" s="259" t="s">
        <v>644</v>
      </c>
      <c r="C142" s="260" t="s">
        <v>206</v>
      </c>
      <c r="D142" s="51">
        <f t="shared" si="33"/>
        <v>2926.8</v>
      </c>
      <c r="E142" s="51">
        <f t="shared" si="33"/>
        <v>2926.8</v>
      </c>
      <c r="F142" s="51">
        <f t="shared" si="33"/>
        <v>0</v>
      </c>
    </row>
    <row r="143" spans="1:6" s="36" customFormat="1" ht="12.75" customHeight="1">
      <c r="A143" s="262" t="s">
        <v>221</v>
      </c>
      <c r="B143" s="259" t="s">
        <v>644</v>
      </c>
      <c r="C143" s="260" t="s">
        <v>222</v>
      </c>
      <c r="D143" s="51">
        <v>2926.8</v>
      </c>
      <c r="E143" s="51">
        <v>2926.8</v>
      </c>
      <c r="F143" s="51">
        <f>D143-E143</f>
        <v>0</v>
      </c>
    </row>
    <row r="144" spans="1:6" s="36" customFormat="1" ht="24">
      <c r="A144" s="265" t="s">
        <v>383</v>
      </c>
      <c r="B144" s="259" t="s">
        <v>384</v>
      </c>
      <c r="C144" s="260"/>
      <c r="D144" s="51">
        <f t="shared" si="33"/>
        <v>1148.5</v>
      </c>
      <c r="E144" s="51">
        <f t="shared" si="33"/>
        <v>1148.5</v>
      </c>
      <c r="F144" s="51">
        <f t="shared" si="33"/>
        <v>0</v>
      </c>
    </row>
    <row r="145" spans="1:6" s="36" customFormat="1" ht="24" customHeight="1">
      <c r="A145" s="262" t="s">
        <v>220</v>
      </c>
      <c r="B145" s="259" t="s">
        <v>384</v>
      </c>
      <c r="C145" s="260" t="s">
        <v>206</v>
      </c>
      <c r="D145" s="51">
        <f t="shared" si="33"/>
        <v>1148.5</v>
      </c>
      <c r="E145" s="51">
        <f t="shared" si="33"/>
        <v>1148.5</v>
      </c>
      <c r="F145" s="51">
        <f t="shared" si="33"/>
        <v>0</v>
      </c>
    </row>
    <row r="146" spans="1:6" s="36" customFormat="1" ht="12.75" customHeight="1">
      <c r="A146" s="262" t="s">
        <v>221</v>
      </c>
      <c r="B146" s="259" t="s">
        <v>384</v>
      </c>
      <c r="C146" s="260" t="s">
        <v>222</v>
      </c>
      <c r="D146" s="51">
        <v>1148.5</v>
      </c>
      <c r="E146" s="51">
        <v>1148.5</v>
      </c>
      <c r="F146" s="51">
        <f>D146-E146</f>
        <v>0</v>
      </c>
    </row>
    <row r="147" spans="1:7" s="32" customFormat="1" ht="12.75">
      <c r="A147" s="270" t="s">
        <v>442</v>
      </c>
      <c r="B147" s="271" t="s">
        <v>36</v>
      </c>
      <c r="C147" s="272"/>
      <c r="D147" s="50">
        <f>D148+D158+D164+D167++D170+D173+D176+D179+D151+D161+D182+D185</f>
        <v>27833.899999999998</v>
      </c>
      <c r="E147" s="50">
        <f>E148+E158+E164+E167++E170+E173+E176+E179+E151+E161+E182+E185</f>
        <v>28053</v>
      </c>
      <c r="F147" s="50">
        <f>F148+F158+F164+F167++F170+F173+F176+F179+F151+F161+F182+F185</f>
        <v>-219.10000000000002</v>
      </c>
      <c r="G147" s="33"/>
    </row>
    <row r="148" spans="1:6" s="32" customFormat="1" ht="12.75">
      <c r="A148" s="168" t="s">
        <v>127</v>
      </c>
      <c r="B148" s="250" t="s">
        <v>37</v>
      </c>
      <c r="C148" s="251"/>
      <c r="D148" s="51">
        <f>D149</f>
        <v>12666.8</v>
      </c>
      <c r="E148" s="51">
        <f>E149</f>
        <v>12666.8</v>
      </c>
      <c r="F148" s="51">
        <f>F149</f>
        <v>0</v>
      </c>
    </row>
    <row r="149" spans="1:6" s="32" customFormat="1" ht="24" customHeight="1">
      <c r="A149" s="169" t="s">
        <v>220</v>
      </c>
      <c r="B149" s="250" t="s">
        <v>37</v>
      </c>
      <c r="C149" s="251" t="s">
        <v>206</v>
      </c>
      <c r="D149" s="51">
        <f>SUM(D150:D150)</f>
        <v>12666.8</v>
      </c>
      <c r="E149" s="51">
        <f>SUM(E150:E150)</f>
        <v>12666.8</v>
      </c>
      <c r="F149" s="51">
        <f>SUM(F150:F150)</f>
        <v>0</v>
      </c>
    </row>
    <row r="150" spans="1:6" s="32" customFormat="1" ht="12.75" customHeight="1">
      <c r="A150" s="170" t="s">
        <v>225</v>
      </c>
      <c r="B150" s="250" t="s">
        <v>37</v>
      </c>
      <c r="C150" s="251" t="s">
        <v>226</v>
      </c>
      <c r="D150" s="51">
        <v>12666.8</v>
      </c>
      <c r="E150" s="51">
        <v>12666.8</v>
      </c>
      <c r="F150" s="51">
        <f>D150-E150</f>
        <v>0</v>
      </c>
    </row>
    <row r="151" spans="1:9" s="36" customFormat="1" ht="12.75">
      <c r="A151" s="262" t="s">
        <v>505</v>
      </c>
      <c r="B151" s="250" t="s">
        <v>504</v>
      </c>
      <c r="C151" s="251"/>
      <c r="D151" s="51">
        <f>D152+D156</f>
        <v>12624.900000000001</v>
      </c>
      <c r="E151" s="51">
        <f>E152+E156</f>
        <v>12624.900000000001</v>
      </c>
      <c r="F151" s="51">
        <f>F152+F156</f>
        <v>0</v>
      </c>
      <c r="I151" s="43"/>
    </row>
    <row r="152" spans="1:9" s="36" customFormat="1" ht="24" customHeight="1">
      <c r="A152" s="170" t="s">
        <v>220</v>
      </c>
      <c r="B152" s="250" t="s">
        <v>504</v>
      </c>
      <c r="C152" s="251" t="s">
        <v>206</v>
      </c>
      <c r="D152" s="51">
        <f>D154+D153+D155</f>
        <v>12359.400000000001</v>
      </c>
      <c r="E152" s="51">
        <f>E154+E153+E155</f>
        <v>12359.400000000001</v>
      </c>
      <c r="F152" s="51">
        <f>F154+F153+F155</f>
        <v>0</v>
      </c>
      <c r="I152" s="43"/>
    </row>
    <row r="153" spans="1:9" s="36" customFormat="1" ht="12.75" customHeight="1">
      <c r="A153" s="170" t="s">
        <v>221</v>
      </c>
      <c r="B153" s="250" t="s">
        <v>504</v>
      </c>
      <c r="C153" s="251" t="s">
        <v>222</v>
      </c>
      <c r="D153" s="51">
        <v>265.6</v>
      </c>
      <c r="E153" s="51">
        <v>265.6</v>
      </c>
      <c r="F153" s="51">
        <f>D153-E153</f>
        <v>0</v>
      </c>
      <c r="I153" s="43"/>
    </row>
    <row r="154" spans="1:9" s="36" customFormat="1" ht="12.75" customHeight="1">
      <c r="A154" s="170" t="s">
        <v>227</v>
      </c>
      <c r="B154" s="250" t="s">
        <v>504</v>
      </c>
      <c r="C154" s="251" t="s">
        <v>226</v>
      </c>
      <c r="D154" s="51">
        <v>11828.2</v>
      </c>
      <c r="E154" s="51">
        <v>11828.2</v>
      </c>
      <c r="F154" s="51">
        <f>D154-E154</f>
        <v>0</v>
      </c>
      <c r="I154" s="43"/>
    </row>
    <row r="155" spans="1:9" s="36" customFormat="1" ht="24" customHeight="1">
      <c r="A155" s="170" t="s">
        <v>518</v>
      </c>
      <c r="B155" s="250" t="s">
        <v>504</v>
      </c>
      <c r="C155" s="251" t="s">
        <v>236</v>
      </c>
      <c r="D155" s="51">
        <v>265.6</v>
      </c>
      <c r="E155" s="51">
        <v>265.6</v>
      </c>
      <c r="F155" s="51">
        <f>D155-E155</f>
        <v>0</v>
      </c>
      <c r="I155" s="43"/>
    </row>
    <row r="156" spans="1:9" s="36" customFormat="1" ht="12.75" customHeight="1">
      <c r="A156" s="170" t="s">
        <v>107</v>
      </c>
      <c r="B156" s="250" t="s">
        <v>504</v>
      </c>
      <c r="C156" s="251" t="s">
        <v>100</v>
      </c>
      <c r="D156" s="51">
        <f>D157</f>
        <v>265.5</v>
      </c>
      <c r="E156" s="51">
        <f>E157</f>
        <v>265.5</v>
      </c>
      <c r="F156" s="322">
        <f>F157</f>
        <v>0</v>
      </c>
      <c r="I156" s="43"/>
    </row>
    <row r="157" spans="1:9" s="36" customFormat="1" ht="24" customHeight="1">
      <c r="A157" s="170" t="s">
        <v>266</v>
      </c>
      <c r="B157" s="250" t="s">
        <v>504</v>
      </c>
      <c r="C157" s="251" t="s">
        <v>101</v>
      </c>
      <c r="D157" s="51">
        <v>265.5</v>
      </c>
      <c r="E157" s="51">
        <v>265.5</v>
      </c>
      <c r="F157" s="51">
        <f>D157-E157</f>
        <v>0</v>
      </c>
      <c r="I157" s="43"/>
    </row>
    <row r="158" spans="1:6" s="32" customFormat="1" ht="24">
      <c r="A158" s="273" t="s">
        <v>564</v>
      </c>
      <c r="B158" s="250" t="s">
        <v>655</v>
      </c>
      <c r="C158" s="251"/>
      <c r="D158" s="51">
        <f aca="true" t="shared" si="34" ref="D158:F162">D159</f>
        <v>296.8</v>
      </c>
      <c r="E158" s="51">
        <f t="shared" si="34"/>
        <v>96.8</v>
      </c>
      <c r="F158" s="51">
        <f t="shared" si="34"/>
        <v>200</v>
      </c>
    </row>
    <row r="159" spans="1:6" s="32" customFormat="1" ht="24" customHeight="1">
      <c r="A159" s="169" t="s">
        <v>220</v>
      </c>
      <c r="B159" s="250" t="s">
        <v>655</v>
      </c>
      <c r="C159" s="251" t="s">
        <v>206</v>
      </c>
      <c r="D159" s="51">
        <f t="shared" si="34"/>
        <v>296.8</v>
      </c>
      <c r="E159" s="51">
        <f t="shared" si="34"/>
        <v>96.8</v>
      </c>
      <c r="F159" s="51">
        <f t="shared" si="34"/>
        <v>200</v>
      </c>
    </row>
    <row r="160" spans="1:6" s="32" customFormat="1" ht="12.75" customHeight="1">
      <c r="A160" s="170" t="s">
        <v>225</v>
      </c>
      <c r="B160" s="250" t="s">
        <v>655</v>
      </c>
      <c r="C160" s="251" t="s">
        <v>226</v>
      </c>
      <c r="D160" s="51">
        <f>96.8+200</f>
        <v>296.8</v>
      </c>
      <c r="E160" s="51">
        <v>96.8</v>
      </c>
      <c r="F160" s="51">
        <f>D160-E160</f>
        <v>200</v>
      </c>
    </row>
    <row r="161" spans="1:6" s="32" customFormat="1" ht="12.75" customHeight="1">
      <c r="A161" s="273" t="s">
        <v>253</v>
      </c>
      <c r="B161" s="250" t="s">
        <v>255</v>
      </c>
      <c r="C161" s="251"/>
      <c r="D161" s="51">
        <f t="shared" si="34"/>
        <v>122.8</v>
      </c>
      <c r="E161" s="51">
        <f t="shared" si="34"/>
        <v>123.4</v>
      </c>
      <c r="F161" s="51">
        <f t="shared" si="34"/>
        <v>-0.6000000000000085</v>
      </c>
    </row>
    <row r="162" spans="1:6" s="32" customFormat="1" ht="12.75" customHeight="1">
      <c r="A162" s="169" t="s">
        <v>220</v>
      </c>
      <c r="B162" s="250" t="s">
        <v>255</v>
      </c>
      <c r="C162" s="251" t="s">
        <v>206</v>
      </c>
      <c r="D162" s="51">
        <f t="shared" si="34"/>
        <v>122.8</v>
      </c>
      <c r="E162" s="51">
        <f t="shared" si="34"/>
        <v>123.4</v>
      </c>
      <c r="F162" s="51">
        <f t="shared" si="34"/>
        <v>-0.6000000000000085</v>
      </c>
    </row>
    <row r="163" spans="1:6" s="32" customFormat="1" ht="12.75" customHeight="1">
      <c r="A163" s="170" t="s">
        <v>225</v>
      </c>
      <c r="B163" s="250" t="s">
        <v>255</v>
      </c>
      <c r="C163" s="251" t="s">
        <v>226</v>
      </c>
      <c r="D163" s="51">
        <v>122.8</v>
      </c>
      <c r="E163" s="51">
        <v>123.4</v>
      </c>
      <c r="F163" s="51">
        <f>D163-E163</f>
        <v>-0.6000000000000085</v>
      </c>
    </row>
    <row r="164" spans="1:6" s="32" customFormat="1" ht="12.75">
      <c r="A164" s="170" t="s">
        <v>126</v>
      </c>
      <c r="B164" s="250" t="s">
        <v>390</v>
      </c>
      <c r="C164" s="251"/>
      <c r="D164" s="51">
        <f aca="true" t="shared" si="35" ref="D164:F165">D165</f>
        <v>20</v>
      </c>
      <c r="E164" s="51">
        <f t="shared" si="35"/>
        <v>20</v>
      </c>
      <c r="F164" s="51">
        <f t="shared" si="35"/>
        <v>0</v>
      </c>
    </row>
    <row r="165" spans="1:6" s="32" customFormat="1" ht="24" customHeight="1">
      <c r="A165" s="169" t="s">
        <v>220</v>
      </c>
      <c r="B165" s="250" t="s">
        <v>390</v>
      </c>
      <c r="C165" s="251" t="s">
        <v>206</v>
      </c>
      <c r="D165" s="51">
        <f t="shared" si="35"/>
        <v>20</v>
      </c>
      <c r="E165" s="51">
        <f t="shared" si="35"/>
        <v>20</v>
      </c>
      <c r="F165" s="51">
        <f t="shared" si="35"/>
        <v>0</v>
      </c>
    </row>
    <row r="166" spans="1:6" s="32" customFormat="1" ht="12.75" customHeight="1">
      <c r="A166" s="170" t="s">
        <v>225</v>
      </c>
      <c r="B166" s="250" t="s">
        <v>390</v>
      </c>
      <c r="C166" s="251" t="s">
        <v>226</v>
      </c>
      <c r="D166" s="51">
        <v>20</v>
      </c>
      <c r="E166" s="51">
        <v>20</v>
      </c>
      <c r="F166" s="51">
        <f>D166-E166</f>
        <v>0</v>
      </c>
    </row>
    <row r="167" spans="1:6" s="32" customFormat="1" ht="12.75">
      <c r="A167" s="263" t="s">
        <v>368</v>
      </c>
      <c r="B167" s="250" t="s">
        <v>433</v>
      </c>
      <c r="C167" s="251"/>
      <c r="D167" s="51">
        <f aca="true" t="shared" si="36" ref="D167:F168">D168</f>
        <v>435</v>
      </c>
      <c r="E167" s="51">
        <f t="shared" si="36"/>
        <v>435</v>
      </c>
      <c r="F167" s="51">
        <f t="shared" si="36"/>
        <v>0</v>
      </c>
    </row>
    <row r="168" spans="1:6" ht="31.5" customHeight="1">
      <c r="A168" s="169" t="s">
        <v>220</v>
      </c>
      <c r="B168" s="250" t="s">
        <v>433</v>
      </c>
      <c r="C168" s="251" t="s">
        <v>206</v>
      </c>
      <c r="D168" s="51">
        <f t="shared" si="36"/>
        <v>435</v>
      </c>
      <c r="E168" s="51">
        <f t="shared" si="36"/>
        <v>435</v>
      </c>
      <c r="F168" s="51">
        <f t="shared" si="36"/>
        <v>0</v>
      </c>
    </row>
    <row r="169" spans="1:6" ht="15" customHeight="1">
      <c r="A169" s="170" t="s">
        <v>227</v>
      </c>
      <c r="B169" s="250" t="s">
        <v>433</v>
      </c>
      <c r="C169" s="251" t="s">
        <v>226</v>
      </c>
      <c r="D169" s="51">
        <v>435</v>
      </c>
      <c r="E169" s="51">
        <v>435</v>
      </c>
      <c r="F169" s="51">
        <f>D169-E169</f>
        <v>0</v>
      </c>
    </row>
    <row r="170" spans="1:6" ht="15" customHeight="1">
      <c r="A170" s="263" t="s">
        <v>361</v>
      </c>
      <c r="B170" s="250" t="s">
        <v>569</v>
      </c>
      <c r="C170" s="251"/>
      <c r="D170" s="51">
        <f aca="true" t="shared" si="37" ref="D170:F171">D171</f>
        <v>269.9</v>
      </c>
      <c r="E170" s="51">
        <f t="shared" si="37"/>
        <v>269.9</v>
      </c>
      <c r="F170" s="51">
        <f t="shared" si="37"/>
        <v>0</v>
      </c>
    </row>
    <row r="171" spans="1:6" ht="22.5" customHeight="1">
      <c r="A171" s="169" t="s">
        <v>220</v>
      </c>
      <c r="B171" s="250" t="s">
        <v>569</v>
      </c>
      <c r="C171" s="251" t="s">
        <v>206</v>
      </c>
      <c r="D171" s="51">
        <f t="shared" si="37"/>
        <v>269.9</v>
      </c>
      <c r="E171" s="51">
        <f t="shared" si="37"/>
        <v>269.9</v>
      </c>
      <c r="F171" s="51">
        <f t="shared" si="37"/>
        <v>0</v>
      </c>
    </row>
    <row r="172" spans="1:6" ht="15" customHeight="1">
      <c r="A172" s="170" t="s">
        <v>227</v>
      </c>
      <c r="B172" s="250" t="s">
        <v>569</v>
      </c>
      <c r="C172" s="251" t="s">
        <v>226</v>
      </c>
      <c r="D172" s="51">
        <v>269.9</v>
      </c>
      <c r="E172" s="51">
        <v>269.9</v>
      </c>
      <c r="F172" s="51">
        <f>D172-E172</f>
        <v>0</v>
      </c>
    </row>
    <row r="173" spans="1:6" ht="18.75" customHeight="1">
      <c r="A173" s="263" t="s">
        <v>324</v>
      </c>
      <c r="B173" s="250" t="s">
        <v>474</v>
      </c>
      <c r="C173" s="251"/>
      <c r="D173" s="51">
        <f aca="true" t="shared" si="38" ref="D173:F174">D174</f>
        <v>39</v>
      </c>
      <c r="E173" s="51">
        <f t="shared" si="38"/>
        <v>39</v>
      </c>
      <c r="F173" s="51">
        <f t="shared" si="38"/>
        <v>0</v>
      </c>
    </row>
    <row r="174" spans="1:6" ht="21" customHeight="1">
      <c r="A174" s="169" t="s">
        <v>220</v>
      </c>
      <c r="B174" s="250" t="s">
        <v>474</v>
      </c>
      <c r="C174" s="251" t="s">
        <v>206</v>
      </c>
      <c r="D174" s="51">
        <f t="shared" si="38"/>
        <v>39</v>
      </c>
      <c r="E174" s="51">
        <f t="shared" si="38"/>
        <v>39</v>
      </c>
      <c r="F174" s="51">
        <f t="shared" si="38"/>
        <v>0</v>
      </c>
    </row>
    <row r="175" spans="1:6" ht="15" customHeight="1">
      <c r="A175" s="170" t="s">
        <v>227</v>
      </c>
      <c r="B175" s="250" t="s">
        <v>474</v>
      </c>
      <c r="C175" s="251" t="s">
        <v>226</v>
      </c>
      <c r="D175" s="51">
        <v>39</v>
      </c>
      <c r="E175" s="51">
        <v>39</v>
      </c>
      <c r="F175" s="51">
        <f>D175-E175</f>
        <v>0</v>
      </c>
    </row>
    <row r="176" spans="1:6" s="32" customFormat="1" ht="12.75">
      <c r="A176" s="273" t="s">
        <v>325</v>
      </c>
      <c r="B176" s="250" t="s">
        <v>38</v>
      </c>
      <c r="C176" s="251"/>
      <c r="D176" s="51">
        <f>D177</f>
        <v>608.7</v>
      </c>
      <c r="E176" s="51">
        <f>E177</f>
        <v>608.7</v>
      </c>
      <c r="F176" s="51">
        <f>F177</f>
        <v>0</v>
      </c>
    </row>
    <row r="177" spans="1:6" s="32" customFormat="1" ht="24" customHeight="1">
      <c r="A177" s="169" t="s">
        <v>220</v>
      </c>
      <c r="B177" s="250" t="s">
        <v>38</v>
      </c>
      <c r="C177" s="251" t="s">
        <v>206</v>
      </c>
      <c r="D177" s="51">
        <f>SUM(D178:D178)</f>
        <v>608.7</v>
      </c>
      <c r="E177" s="51">
        <f>SUM(E178:E178)</f>
        <v>608.7</v>
      </c>
      <c r="F177" s="51">
        <f>SUM(F178:F178)</f>
        <v>0</v>
      </c>
    </row>
    <row r="178" spans="1:6" s="36" customFormat="1" ht="12.75" customHeight="1">
      <c r="A178" s="170" t="s">
        <v>225</v>
      </c>
      <c r="B178" s="250" t="s">
        <v>38</v>
      </c>
      <c r="C178" s="251" t="s">
        <v>226</v>
      </c>
      <c r="D178" s="51">
        <f>595.5+13.2</f>
        <v>608.7</v>
      </c>
      <c r="E178" s="51">
        <f>595.5+13.2</f>
        <v>608.7</v>
      </c>
      <c r="F178" s="51">
        <f>D178-E178</f>
        <v>0</v>
      </c>
    </row>
    <row r="179" spans="1:6" s="36" customFormat="1" ht="12.75">
      <c r="A179" s="273" t="s">
        <v>326</v>
      </c>
      <c r="B179" s="250" t="s">
        <v>42</v>
      </c>
      <c r="C179" s="251"/>
      <c r="D179" s="51">
        <f>D180</f>
        <v>150</v>
      </c>
      <c r="E179" s="51">
        <f>E180</f>
        <v>150</v>
      </c>
      <c r="F179" s="51">
        <f>F180</f>
        <v>0</v>
      </c>
    </row>
    <row r="180" spans="1:6" s="36" customFormat="1" ht="24" customHeight="1">
      <c r="A180" s="169" t="s">
        <v>220</v>
      </c>
      <c r="B180" s="250" t="s">
        <v>42</v>
      </c>
      <c r="C180" s="251" t="s">
        <v>206</v>
      </c>
      <c r="D180" s="51">
        <f>SUM(D181:D181)</f>
        <v>150</v>
      </c>
      <c r="E180" s="51">
        <f>SUM(E181:E181)</f>
        <v>150</v>
      </c>
      <c r="F180" s="51">
        <f>SUM(F181:F181)</f>
        <v>0</v>
      </c>
    </row>
    <row r="181" spans="1:9" s="36" customFormat="1" ht="12.75" customHeight="1">
      <c r="A181" s="170" t="s">
        <v>225</v>
      </c>
      <c r="B181" s="250" t="s">
        <v>42</v>
      </c>
      <c r="C181" s="251" t="s">
        <v>226</v>
      </c>
      <c r="D181" s="51">
        <v>150</v>
      </c>
      <c r="E181" s="51">
        <v>150</v>
      </c>
      <c r="F181" s="51">
        <f>D181-E181</f>
        <v>0</v>
      </c>
      <c r="I181" s="59"/>
    </row>
    <row r="182" spans="1:6" s="36" customFormat="1" ht="12.75">
      <c r="A182" s="273" t="s">
        <v>680</v>
      </c>
      <c r="B182" s="250" t="s">
        <v>686</v>
      </c>
      <c r="C182" s="251"/>
      <c r="D182" s="51">
        <f>D183</f>
        <v>600</v>
      </c>
      <c r="E182" s="51">
        <f>E183</f>
        <v>600</v>
      </c>
      <c r="F182" s="51">
        <f>F183</f>
        <v>0</v>
      </c>
    </row>
    <row r="183" spans="1:6" s="36" customFormat="1" ht="24" customHeight="1">
      <c r="A183" s="169" t="s">
        <v>220</v>
      </c>
      <c r="B183" s="250" t="s">
        <v>686</v>
      </c>
      <c r="C183" s="251" t="s">
        <v>206</v>
      </c>
      <c r="D183" s="51">
        <f>SUM(D184:D184)</f>
        <v>600</v>
      </c>
      <c r="E183" s="51">
        <f>SUM(E184:E184)</f>
        <v>600</v>
      </c>
      <c r="F183" s="51">
        <f>SUM(F184:F184)</f>
        <v>0</v>
      </c>
    </row>
    <row r="184" spans="1:9" s="36" customFormat="1" ht="12.75" customHeight="1">
      <c r="A184" s="170" t="s">
        <v>225</v>
      </c>
      <c r="B184" s="250" t="s">
        <v>686</v>
      </c>
      <c r="C184" s="251" t="s">
        <v>226</v>
      </c>
      <c r="D184" s="51">
        <v>600</v>
      </c>
      <c r="E184" s="51">
        <v>600</v>
      </c>
      <c r="F184" s="51">
        <f>D184-E184</f>
        <v>0</v>
      </c>
      <c r="I184" s="59"/>
    </row>
    <row r="185" spans="1:9" s="36" customFormat="1" ht="38.25" customHeight="1">
      <c r="A185" s="170" t="s">
        <v>694</v>
      </c>
      <c r="B185" s="250" t="s">
        <v>695</v>
      </c>
      <c r="C185" s="251"/>
      <c r="D185" s="51">
        <f aca="true" t="shared" si="39" ref="D185:F186">D186</f>
        <v>0</v>
      </c>
      <c r="E185" s="51">
        <f t="shared" si="39"/>
        <v>418.5</v>
      </c>
      <c r="F185" s="51">
        <f t="shared" si="39"/>
        <v>-418.5</v>
      </c>
      <c r="I185" s="59"/>
    </row>
    <row r="186" spans="1:9" s="36" customFormat="1" ht="12.75" customHeight="1">
      <c r="A186" s="169" t="s">
        <v>220</v>
      </c>
      <c r="B186" s="250" t="s">
        <v>695</v>
      </c>
      <c r="C186" s="251" t="s">
        <v>206</v>
      </c>
      <c r="D186" s="51">
        <f t="shared" si="39"/>
        <v>0</v>
      </c>
      <c r="E186" s="51">
        <f t="shared" si="39"/>
        <v>418.5</v>
      </c>
      <c r="F186" s="51">
        <f t="shared" si="39"/>
        <v>-418.5</v>
      </c>
      <c r="I186" s="59"/>
    </row>
    <row r="187" spans="1:9" s="36" customFormat="1" ht="12.75" customHeight="1">
      <c r="A187" s="170" t="s">
        <v>225</v>
      </c>
      <c r="B187" s="250" t="s">
        <v>695</v>
      </c>
      <c r="C187" s="251" t="s">
        <v>226</v>
      </c>
      <c r="D187" s="51">
        <f>418.5-418.5</f>
        <v>0</v>
      </c>
      <c r="E187" s="51">
        <v>418.5</v>
      </c>
      <c r="F187" s="51">
        <f>D187-E187</f>
        <v>-418.5</v>
      </c>
      <c r="I187" s="59"/>
    </row>
    <row r="188" spans="1:6" s="20" customFormat="1" ht="24">
      <c r="A188" s="270" t="s">
        <v>495</v>
      </c>
      <c r="B188" s="271" t="s">
        <v>494</v>
      </c>
      <c r="C188" s="251"/>
      <c r="D188" s="320">
        <f>D189+D194</f>
        <v>12656.1</v>
      </c>
      <c r="E188" s="320">
        <f>E189+E194</f>
        <v>12656.1</v>
      </c>
      <c r="F188" s="320">
        <f>F189+F194</f>
        <v>0</v>
      </c>
    </row>
    <row r="189" spans="1:6" s="20" customFormat="1" ht="12.75">
      <c r="A189" s="170" t="s">
        <v>138</v>
      </c>
      <c r="B189" s="250" t="s">
        <v>493</v>
      </c>
      <c r="C189" s="251"/>
      <c r="D189" s="323">
        <f>D190+D192</f>
        <v>12326.1</v>
      </c>
      <c r="E189" s="323">
        <f>E190+E192</f>
        <v>12346.1</v>
      </c>
      <c r="F189" s="323">
        <f>F190+F192</f>
        <v>-20</v>
      </c>
    </row>
    <row r="190" spans="1:6" s="20" customFormat="1" ht="36" customHeight="1">
      <c r="A190" s="252" t="s">
        <v>139</v>
      </c>
      <c r="B190" s="250" t="s">
        <v>493</v>
      </c>
      <c r="C190" s="251" t="s">
        <v>228</v>
      </c>
      <c r="D190" s="323">
        <f>D191</f>
        <v>11575.2</v>
      </c>
      <c r="E190" s="323">
        <f>E191</f>
        <v>11575.2</v>
      </c>
      <c r="F190" s="323">
        <f>F191</f>
        <v>0</v>
      </c>
    </row>
    <row r="191" spans="1:6" s="20" customFormat="1" ht="12.75" customHeight="1">
      <c r="A191" s="169" t="s">
        <v>223</v>
      </c>
      <c r="B191" s="250" t="s">
        <v>493</v>
      </c>
      <c r="C191" s="251" t="s">
        <v>224</v>
      </c>
      <c r="D191" s="323">
        <f>11307.7+130+122.9-25.4+40</f>
        <v>11575.2</v>
      </c>
      <c r="E191" s="323">
        <f>11307.7+130+122.9-25.4+40</f>
        <v>11575.2</v>
      </c>
      <c r="F191" s="51">
        <f>D191-E191</f>
        <v>0</v>
      </c>
    </row>
    <row r="192" spans="1:6" s="20" customFormat="1" ht="12.75" customHeight="1">
      <c r="A192" s="252" t="s">
        <v>264</v>
      </c>
      <c r="B192" s="250" t="s">
        <v>493</v>
      </c>
      <c r="C192" s="251" t="s">
        <v>216</v>
      </c>
      <c r="D192" s="323">
        <f>D193</f>
        <v>750.9</v>
      </c>
      <c r="E192" s="323">
        <f>E193</f>
        <v>770.9</v>
      </c>
      <c r="F192" s="323">
        <f>F193</f>
        <v>-20</v>
      </c>
    </row>
    <row r="193" spans="1:6" s="20" customFormat="1" ht="16.5" customHeight="1">
      <c r="A193" s="252" t="s">
        <v>217</v>
      </c>
      <c r="B193" s="250" t="s">
        <v>493</v>
      </c>
      <c r="C193" s="251" t="s">
        <v>215</v>
      </c>
      <c r="D193" s="323">
        <v>750.9</v>
      </c>
      <c r="E193" s="323">
        <v>770.9</v>
      </c>
      <c r="F193" s="51">
        <f>D193-E193</f>
        <v>-20</v>
      </c>
    </row>
    <row r="194" spans="1:6" s="36" customFormat="1" ht="12.75">
      <c r="A194" s="274" t="s">
        <v>126</v>
      </c>
      <c r="B194" s="250" t="s">
        <v>502</v>
      </c>
      <c r="C194" s="251"/>
      <c r="D194" s="321">
        <f>D195+D197</f>
        <v>330</v>
      </c>
      <c r="E194" s="321">
        <f>E195+E197</f>
        <v>310</v>
      </c>
      <c r="F194" s="321">
        <f>F195+F197</f>
        <v>20</v>
      </c>
    </row>
    <row r="195" spans="1:6" s="36" customFormat="1" ht="36" customHeight="1">
      <c r="A195" s="252" t="s">
        <v>139</v>
      </c>
      <c r="B195" s="250" t="s">
        <v>502</v>
      </c>
      <c r="C195" s="251" t="s">
        <v>228</v>
      </c>
      <c r="D195" s="321">
        <f>D196</f>
        <v>240</v>
      </c>
      <c r="E195" s="321">
        <f>E196</f>
        <v>220</v>
      </c>
      <c r="F195" s="321">
        <f>F196</f>
        <v>20</v>
      </c>
    </row>
    <row r="196" spans="1:6" s="36" customFormat="1" ht="12.75" customHeight="1">
      <c r="A196" s="169" t="s">
        <v>223</v>
      </c>
      <c r="B196" s="250" t="s">
        <v>502</v>
      </c>
      <c r="C196" s="251" t="s">
        <v>224</v>
      </c>
      <c r="D196" s="321">
        <v>240</v>
      </c>
      <c r="E196" s="321">
        <f>200+20</f>
        <v>220</v>
      </c>
      <c r="F196" s="51">
        <f>D196-E196</f>
        <v>20</v>
      </c>
    </row>
    <row r="197" spans="1:6" s="36" customFormat="1" ht="12.75" customHeight="1">
      <c r="A197" s="252" t="s">
        <v>264</v>
      </c>
      <c r="B197" s="250" t="s">
        <v>502</v>
      </c>
      <c r="C197" s="251" t="s">
        <v>216</v>
      </c>
      <c r="D197" s="321">
        <f>D198</f>
        <v>90</v>
      </c>
      <c r="E197" s="321">
        <f>E198</f>
        <v>90</v>
      </c>
      <c r="F197" s="321">
        <f>F198</f>
        <v>0</v>
      </c>
    </row>
    <row r="198" spans="1:6" s="36" customFormat="1" ht="12.75" customHeight="1">
      <c r="A198" s="252" t="s">
        <v>217</v>
      </c>
      <c r="B198" s="250" t="s">
        <v>502</v>
      </c>
      <c r="C198" s="251" t="s">
        <v>215</v>
      </c>
      <c r="D198" s="321">
        <f>150-40-20</f>
        <v>90</v>
      </c>
      <c r="E198" s="321">
        <f>150-40-20</f>
        <v>90</v>
      </c>
      <c r="F198" s="51">
        <f>D198-E198</f>
        <v>0</v>
      </c>
    </row>
    <row r="199" spans="1:6" s="20" customFormat="1" ht="24">
      <c r="A199" s="275" t="s">
        <v>400</v>
      </c>
      <c r="B199" s="248" t="s">
        <v>95</v>
      </c>
      <c r="C199" s="249"/>
      <c r="D199" s="50">
        <f>D200+D206</f>
        <v>875.9000000000001</v>
      </c>
      <c r="E199" s="50">
        <f>E200+E206</f>
        <v>875.9000000000001</v>
      </c>
      <c r="F199" s="50">
        <f>F200+F206</f>
        <v>0</v>
      </c>
    </row>
    <row r="200" spans="1:6" s="20" customFormat="1" ht="12.75">
      <c r="A200" s="276" t="s">
        <v>450</v>
      </c>
      <c r="B200" s="271" t="s">
        <v>54</v>
      </c>
      <c r="C200" s="251"/>
      <c r="D200" s="50">
        <f>D201</f>
        <v>534.7</v>
      </c>
      <c r="E200" s="50">
        <f>E201</f>
        <v>534.7</v>
      </c>
      <c r="F200" s="50">
        <f>F201</f>
        <v>0</v>
      </c>
    </row>
    <row r="201" spans="1:6" s="24" customFormat="1" ht="24">
      <c r="A201" s="253" t="s">
        <v>111</v>
      </c>
      <c r="B201" s="250" t="s">
        <v>55</v>
      </c>
      <c r="C201" s="277"/>
      <c r="D201" s="324">
        <f>D202+D204</f>
        <v>534.7</v>
      </c>
      <c r="E201" s="324">
        <f>E202+E204</f>
        <v>534.7</v>
      </c>
      <c r="F201" s="324">
        <f>F202+F204</f>
        <v>0</v>
      </c>
    </row>
    <row r="202" spans="1:6" s="24" customFormat="1" ht="15.75" customHeight="1">
      <c r="A202" s="252" t="s">
        <v>264</v>
      </c>
      <c r="B202" s="250" t="s">
        <v>55</v>
      </c>
      <c r="C202" s="58">
        <v>200</v>
      </c>
      <c r="D202" s="321">
        <f>D203</f>
        <v>504.7</v>
      </c>
      <c r="E202" s="321">
        <f>E203</f>
        <v>504.7</v>
      </c>
      <c r="F202" s="321">
        <f>F203</f>
        <v>0</v>
      </c>
    </row>
    <row r="203" spans="1:6" s="24" customFormat="1" ht="15.75" customHeight="1">
      <c r="A203" s="252" t="s">
        <v>217</v>
      </c>
      <c r="B203" s="250" t="s">
        <v>55</v>
      </c>
      <c r="C203" s="58">
        <v>240</v>
      </c>
      <c r="D203" s="321">
        <f>15+200+289.7</f>
        <v>504.7</v>
      </c>
      <c r="E203" s="321">
        <f>15+200+289.7</f>
        <v>504.7</v>
      </c>
      <c r="F203" s="51">
        <f>D203-E203</f>
        <v>0</v>
      </c>
    </row>
    <row r="204" spans="1:6" s="20" customFormat="1" ht="24" customHeight="1">
      <c r="A204" s="252" t="s">
        <v>317</v>
      </c>
      <c r="B204" s="250" t="s">
        <v>55</v>
      </c>
      <c r="C204" s="58">
        <v>600</v>
      </c>
      <c r="D204" s="321">
        <f>D205</f>
        <v>30</v>
      </c>
      <c r="E204" s="321">
        <f>E205</f>
        <v>30</v>
      </c>
      <c r="F204" s="321">
        <f>F205</f>
        <v>0</v>
      </c>
    </row>
    <row r="205" spans="1:6" s="20" customFormat="1" ht="12.75" customHeight="1">
      <c r="A205" s="252" t="s">
        <v>221</v>
      </c>
      <c r="B205" s="250" t="s">
        <v>55</v>
      </c>
      <c r="C205" s="58">
        <v>610</v>
      </c>
      <c r="D205" s="321">
        <v>30</v>
      </c>
      <c r="E205" s="321">
        <v>30</v>
      </c>
      <c r="F205" s="51">
        <f>D205-E205</f>
        <v>0</v>
      </c>
    </row>
    <row r="206" spans="1:6" s="20" customFormat="1" ht="12.75">
      <c r="A206" s="278" t="s">
        <v>245</v>
      </c>
      <c r="B206" s="271" t="s">
        <v>56</v>
      </c>
      <c r="C206" s="272"/>
      <c r="D206" s="50">
        <f>D207+D212</f>
        <v>341.2</v>
      </c>
      <c r="E206" s="50">
        <f>E207+E212</f>
        <v>341.2</v>
      </c>
      <c r="F206" s="50">
        <f>F207+F212</f>
        <v>0</v>
      </c>
    </row>
    <row r="207" spans="1:6" s="20" customFormat="1" ht="24">
      <c r="A207" s="253" t="s">
        <v>111</v>
      </c>
      <c r="B207" s="250" t="s">
        <v>57</v>
      </c>
      <c r="C207" s="251"/>
      <c r="D207" s="51">
        <f>D208+D210</f>
        <v>325</v>
      </c>
      <c r="E207" s="51">
        <f>E208+E210</f>
        <v>325</v>
      </c>
      <c r="F207" s="51">
        <f>F208+F210</f>
        <v>0</v>
      </c>
    </row>
    <row r="208" spans="1:6" s="20" customFormat="1" ht="12.75" customHeight="1">
      <c r="A208" s="252" t="s">
        <v>264</v>
      </c>
      <c r="B208" s="250" t="s">
        <v>57</v>
      </c>
      <c r="C208" s="251" t="s">
        <v>216</v>
      </c>
      <c r="D208" s="51">
        <f>D209</f>
        <v>62</v>
      </c>
      <c r="E208" s="51">
        <f>E209</f>
        <v>62</v>
      </c>
      <c r="F208" s="51">
        <f>F209</f>
        <v>0</v>
      </c>
    </row>
    <row r="209" spans="1:6" s="20" customFormat="1" ht="12.75" customHeight="1">
      <c r="A209" s="252" t="s">
        <v>217</v>
      </c>
      <c r="B209" s="250" t="s">
        <v>57</v>
      </c>
      <c r="C209" s="251" t="s">
        <v>215</v>
      </c>
      <c r="D209" s="51">
        <v>62</v>
      </c>
      <c r="E209" s="51">
        <v>62</v>
      </c>
      <c r="F209" s="51">
        <f>D209-E209</f>
        <v>0</v>
      </c>
    </row>
    <row r="210" spans="1:6" s="20" customFormat="1" ht="23.25" customHeight="1">
      <c r="A210" s="252" t="s">
        <v>317</v>
      </c>
      <c r="B210" s="250" t="s">
        <v>57</v>
      </c>
      <c r="C210" s="251" t="s">
        <v>206</v>
      </c>
      <c r="D210" s="51">
        <f>D211</f>
        <v>263</v>
      </c>
      <c r="E210" s="51">
        <f>E211</f>
        <v>263</v>
      </c>
      <c r="F210" s="51">
        <f>F211</f>
        <v>0</v>
      </c>
    </row>
    <row r="211" spans="1:6" s="20" customFormat="1" ht="12.75" customHeight="1">
      <c r="A211" s="252" t="s">
        <v>221</v>
      </c>
      <c r="B211" s="250" t="s">
        <v>57</v>
      </c>
      <c r="C211" s="251" t="s">
        <v>222</v>
      </c>
      <c r="D211" s="51">
        <v>263</v>
      </c>
      <c r="E211" s="51">
        <v>263</v>
      </c>
      <c r="F211" s="51">
        <f>D211-E211</f>
        <v>0</v>
      </c>
    </row>
    <row r="212" spans="1:6" s="20" customFormat="1" ht="36">
      <c r="A212" s="253" t="s">
        <v>41</v>
      </c>
      <c r="B212" s="250" t="s">
        <v>451</v>
      </c>
      <c r="C212" s="251"/>
      <c r="D212" s="51">
        <f>SUM(D213)</f>
        <v>16.2</v>
      </c>
      <c r="E212" s="51">
        <f>SUM(E213)</f>
        <v>16.2</v>
      </c>
      <c r="F212" s="51">
        <f>SUM(F213)</f>
        <v>0</v>
      </c>
    </row>
    <row r="213" spans="1:6" s="20" customFormat="1" ht="12.75" customHeight="1">
      <c r="A213" s="252" t="s">
        <v>264</v>
      </c>
      <c r="B213" s="250" t="s">
        <v>451</v>
      </c>
      <c r="C213" s="251" t="s">
        <v>216</v>
      </c>
      <c r="D213" s="51">
        <f>D214</f>
        <v>16.2</v>
      </c>
      <c r="E213" s="51">
        <f>E214</f>
        <v>16.2</v>
      </c>
      <c r="F213" s="51">
        <f>F214</f>
        <v>0</v>
      </c>
    </row>
    <row r="214" spans="1:6" s="20" customFormat="1" ht="12.75" customHeight="1">
      <c r="A214" s="252" t="s">
        <v>217</v>
      </c>
      <c r="B214" s="250" t="s">
        <v>451</v>
      </c>
      <c r="C214" s="251" t="s">
        <v>215</v>
      </c>
      <c r="D214" s="51">
        <v>16.2</v>
      </c>
      <c r="E214" s="51">
        <v>16.2</v>
      </c>
      <c r="F214" s="51">
        <f>D214-E214</f>
        <v>0</v>
      </c>
    </row>
    <row r="215" spans="1:6" s="20" customFormat="1" ht="12.75">
      <c r="A215" s="279" t="s">
        <v>286</v>
      </c>
      <c r="B215" s="248" t="s">
        <v>0</v>
      </c>
      <c r="C215" s="249"/>
      <c r="D215" s="325">
        <f>D216</f>
        <v>1225</v>
      </c>
      <c r="E215" s="325">
        <f>E216</f>
        <v>1225</v>
      </c>
      <c r="F215" s="325">
        <f>F216</f>
        <v>0</v>
      </c>
    </row>
    <row r="216" spans="1:6" s="20" customFormat="1" ht="24">
      <c r="A216" s="276" t="s">
        <v>284</v>
      </c>
      <c r="B216" s="271" t="s">
        <v>1</v>
      </c>
      <c r="C216" s="251"/>
      <c r="D216" s="325">
        <f>D219</f>
        <v>1225</v>
      </c>
      <c r="E216" s="325">
        <f>E219</f>
        <v>1225</v>
      </c>
      <c r="F216" s="325">
        <f>F219</f>
        <v>0</v>
      </c>
    </row>
    <row r="217" spans="1:6" s="20" customFormat="1" ht="14.25" customHeight="1">
      <c r="A217" s="253" t="s">
        <v>586</v>
      </c>
      <c r="B217" s="250" t="s">
        <v>2</v>
      </c>
      <c r="C217" s="280"/>
      <c r="D217" s="326">
        <f aca="true" t="shared" si="40" ref="D217:F218">D218</f>
        <v>1225</v>
      </c>
      <c r="E217" s="326">
        <f t="shared" si="40"/>
        <v>1225</v>
      </c>
      <c r="F217" s="326">
        <f t="shared" si="40"/>
        <v>0</v>
      </c>
    </row>
    <row r="218" spans="1:6" s="20" customFormat="1" ht="12.75" customHeight="1">
      <c r="A218" s="252" t="s">
        <v>264</v>
      </c>
      <c r="B218" s="250" t="s">
        <v>2</v>
      </c>
      <c r="C218" s="280" t="s">
        <v>216</v>
      </c>
      <c r="D218" s="327">
        <f t="shared" si="40"/>
        <v>1225</v>
      </c>
      <c r="E218" s="327">
        <f t="shared" si="40"/>
        <v>1225</v>
      </c>
      <c r="F218" s="327">
        <f t="shared" si="40"/>
        <v>0</v>
      </c>
    </row>
    <row r="219" spans="1:6" s="20" customFormat="1" ht="12.75" customHeight="1">
      <c r="A219" s="252" t="s">
        <v>217</v>
      </c>
      <c r="B219" s="250" t="s">
        <v>2</v>
      </c>
      <c r="C219" s="280" t="s">
        <v>215</v>
      </c>
      <c r="D219" s="327">
        <v>1225</v>
      </c>
      <c r="E219" s="327">
        <v>1225</v>
      </c>
      <c r="F219" s="51">
        <f>D219-E219</f>
        <v>0</v>
      </c>
    </row>
    <row r="220" spans="1:6" s="20" customFormat="1" ht="12.75">
      <c r="A220" s="281" t="s">
        <v>410</v>
      </c>
      <c r="B220" s="248" t="s">
        <v>4</v>
      </c>
      <c r="C220" s="282"/>
      <c r="D220" s="50">
        <f>D226+D231+D221+D234</f>
        <v>2405.1</v>
      </c>
      <c r="E220" s="50">
        <f>E226+E231+E221+E234</f>
        <v>2405.1</v>
      </c>
      <c r="F220" s="364">
        <f>F226+F231+F221+F234</f>
        <v>0</v>
      </c>
    </row>
    <row r="221" spans="1:6" s="20" customFormat="1" ht="16.5" customHeight="1">
      <c r="A221" s="170" t="s">
        <v>288</v>
      </c>
      <c r="B221" s="250" t="s">
        <v>460</v>
      </c>
      <c r="C221" s="251"/>
      <c r="D221" s="51">
        <f aca="true" t="shared" si="41" ref="D221:F222">D222</f>
        <v>5</v>
      </c>
      <c r="E221" s="51">
        <f t="shared" si="41"/>
        <v>5</v>
      </c>
      <c r="F221" s="51">
        <f t="shared" si="41"/>
        <v>0</v>
      </c>
    </row>
    <row r="222" spans="1:6" s="20" customFormat="1" ht="12.75" customHeight="1">
      <c r="A222" s="252" t="s">
        <v>264</v>
      </c>
      <c r="B222" s="250" t="s">
        <v>460</v>
      </c>
      <c r="C222" s="251" t="s">
        <v>216</v>
      </c>
      <c r="D222" s="51">
        <f t="shared" si="41"/>
        <v>5</v>
      </c>
      <c r="E222" s="51">
        <f t="shared" si="41"/>
        <v>5</v>
      </c>
      <c r="F222" s="51">
        <f t="shared" si="41"/>
        <v>0</v>
      </c>
    </row>
    <row r="223" spans="1:6" s="20" customFormat="1" ht="12.75" customHeight="1">
      <c r="A223" s="252" t="s">
        <v>217</v>
      </c>
      <c r="B223" s="250" t="s">
        <v>460</v>
      </c>
      <c r="C223" s="251" t="s">
        <v>215</v>
      </c>
      <c r="D223" s="51">
        <v>5</v>
      </c>
      <c r="E223" s="51">
        <v>5</v>
      </c>
      <c r="F223" s="51">
        <f>D223-E223</f>
        <v>0</v>
      </c>
    </row>
    <row r="224" spans="1:6" s="20" customFormat="1" ht="12.75" customHeight="1">
      <c r="A224" s="252" t="s">
        <v>264</v>
      </c>
      <c r="B224" s="250" t="s">
        <v>6</v>
      </c>
      <c r="C224" s="251" t="s">
        <v>216</v>
      </c>
      <c r="D224" s="51">
        <f>D225</f>
        <v>97.9</v>
      </c>
      <c r="E224" s="51">
        <f>E225</f>
        <v>97.9</v>
      </c>
      <c r="F224" s="51">
        <f>F225</f>
        <v>0</v>
      </c>
    </row>
    <row r="225" spans="1:6" s="20" customFormat="1" ht="12.75" customHeight="1">
      <c r="A225" s="252" t="s">
        <v>217</v>
      </c>
      <c r="B225" s="250" t="s">
        <v>6</v>
      </c>
      <c r="C225" s="251" t="s">
        <v>215</v>
      </c>
      <c r="D225" s="51">
        <v>97.9</v>
      </c>
      <c r="E225" s="51">
        <v>97.9</v>
      </c>
      <c r="F225" s="51">
        <f>D225-E225</f>
        <v>0</v>
      </c>
    </row>
    <row r="226" spans="1:6" s="20" customFormat="1" ht="12.75">
      <c r="A226" s="253" t="s">
        <v>119</v>
      </c>
      <c r="B226" s="250" t="s">
        <v>5</v>
      </c>
      <c r="C226" s="283"/>
      <c r="D226" s="51">
        <f>D229+D227</f>
        <v>2134.9</v>
      </c>
      <c r="E226" s="51">
        <f>E229+E227</f>
        <v>2134.9</v>
      </c>
      <c r="F226" s="365">
        <f>F229+F227</f>
        <v>0</v>
      </c>
    </row>
    <row r="227" spans="1:6" s="20" customFormat="1" ht="12.75">
      <c r="A227" s="252" t="s">
        <v>264</v>
      </c>
      <c r="B227" s="250" t="s">
        <v>5</v>
      </c>
      <c r="C227" s="251" t="s">
        <v>216</v>
      </c>
      <c r="D227" s="51">
        <f>D228</f>
        <v>97.9</v>
      </c>
      <c r="E227" s="51">
        <f>E228</f>
        <v>97.9</v>
      </c>
      <c r="F227" s="51">
        <f>F228</f>
        <v>0</v>
      </c>
    </row>
    <row r="228" spans="1:6" s="20" customFormat="1" ht="12.75">
      <c r="A228" s="252" t="s">
        <v>217</v>
      </c>
      <c r="B228" s="250" t="s">
        <v>5</v>
      </c>
      <c r="C228" s="251" t="s">
        <v>215</v>
      </c>
      <c r="D228" s="51">
        <v>97.9</v>
      </c>
      <c r="E228" s="51">
        <v>97.9</v>
      </c>
      <c r="F228" s="51">
        <f>D228-E228</f>
        <v>0</v>
      </c>
    </row>
    <row r="229" spans="1:6" s="20" customFormat="1" ht="12.75" customHeight="1">
      <c r="A229" s="253" t="s">
        <v>107</v>
      </c>
      <c r="B229" s="250" t="s">
        <v>5</v>
      </c>
      <c r="C229" s="283" t="s">
        <v>100</v>
      </c>
      <c r="D229" s="51">
        <f>D230</f>
        <v>2037</v>
      </c>
      <c r="E229" s="51">
        <f>E230</f>
        <v>2037</v>
      </c>
      <c r="F229" s="51">
        <f>F230</f>
        <v>0</v>
      </c>
    </row>
    <row r="230" spans="1:6" s="20" customFormat="1" ht="24" customHeight="1">
      <c r="A230" s="253" t="s">
        <v>266</v>
      </c>
      <c r="B230" s="250" t="s">
        <v>5</v>
      </c>
      <c r="C230" s="251" t="s">
        <v>101</v>
      </c>
      <c r="D230" s="51">
        <f>832+5+1200</f>
        <v>2037</v>
      </c>
      <c r="E230" s="51">
        <f>832+5+1200</f>
        <v>2037</v>
      </c>
      <c r="F230" s="51">
        <f>D230-E230</f>
        <v>0</v>
      </c>
    </row>
    <row r="231" spans="1:6" s="20" customFormat="1" ht="24">
      <c r="A231" s="170" t="s">
        <v>113</v>
      </c>
      <c r="B231" s="250" t="s">
        <v>6</v>
      </c>
      <c r="C231" s="251"/>
      <c r="D231" s="51">
        <f aca="true" t="shared" si="42" ref="D231:F232">D232</f>
        <v>115</v>
      </c>
      <c r="E231" s="51">
        <f t="shared" si="42"/>
        <v>115</v>
      </c>
      <c r="F231" s="51">
        <f t="shared" si="42"/>
        <v>0</v>
      </c>
    </row>
    <row r="232" spans="1:6" s="20" customFormat="1" ht="12.75" customHeight="1">
      <c r="A232" s="252" t="s">
        <v>264</v>
      </c>
      <c r="B232" s="250" t="s">
        <v>6</v>
      </c>
      <c r="C232" s="251" t="s">
        <v>216</v>
      </c>
      <c r="D232" s="51">
        <f t="shared" si="42"/>
        <v>115</v>
      </c>
      <c r="E232" s="51">
        <f t="shared" si="42"/>
        <v>115</v>
      </c>
      <c r="F232" s="51">
        <f t="shared" si="42"/>
        <v>0</v>
      </c>
    </row>
    <row r="233" spans="1:6" s="20" customFormat="1" ht="12.75" customHeight="1">
      <c r="A233" s="252" t="s">
        <v>217</v>
      </c>
      <c r="B233" s="250" t="s">
        <v>6</v>
      </c>
      <c r="C233" s="251" t="s">
        <v>215</v>
      </c>
      <c r="D233" s="51">
        <v>115</v>
      </c>
      <c r="E233" s="51">
        <v>115</v>
      </c>
      <c r="F233" s="51">
        <f>D233-E233</f>
        <v>0</v>
      </c>
    </row>
    <row r="234" spans="1:6" s="20" customFormat="1" ht="12.75" customHeight="1">
      <c r="A234" s="170" t="s">
        <v>459</v>
      </c>
      <c r="B234" s="250" t="s">
        <v>661</v>
      </c>
      <c r="C234" s="251"/>
      <c r="D234" s="51">
        <f aca="true" t="shared" si="43" ref="D234:F235">D235</f>
        <v>150.2</v>
      </c>
      <c r="E234" s="51">
        <f t="shared" si="43"/>
        <v>150.2</v>
      </c>
      <c r="F234" s="51">
        <f t="shared" si="43"/>
        <v>0</v>
      </c>
    </row>
    <row r="235" spans="1:6" s="20" customFormat="1" ht="12.75" customHeight="1">
      <c r="A235" s="252" t="s">
        <v>264</v>
      </c>
      <c r="B235" s="250" t="s">
        <v>661</v>
      </c>
      <c r="C235" s="251" t="s">
        <v>216</v>
      </c>
      <c r="D235" s="51">
        <f t="shared" si="43"/>
        <v>150.2</v>
      </c>
      <c r="E235" s="51">
        <f t="shared" si="43"/>
        <v>150.2</v>
      </c>
      <c r="F235" s="51">
        <f t="shared" si="43"/>
        <v>0</v>
      </c>
    </row>
    <row r="236" spans="1:6" s="20" customFormat="1" ht="12.75" customHeight="1">
      <c r="A236" s="252" t="s">
        <v>217</v>
      </c>
      <c r="B236" s="250" t="s">
        <v>661</v>
      </c>
      <c r="C236" s="251" t="s">
        <v>215</v>
      </c>
      <c r="D236" s="51">
        <v>150.2</v>
      </c>
      <c r="E236" s="51">
        <v>150.2</v>
      </c>
      <c r="F236" s="51">
        <f>D236-E236</f>
        <v>0</v>
      </c>
    </row>
    <row r="237" spans="1:6" s="20" customFormat="1" ht="12.75">
      <c r="A237" s="279" t="s">
        <v>409</v>
      </c>
      <c r="B237" s="248" t="s">
        <v>303</v>
      </c>
      <c r="C237" s="249"/>
      <c r="D237" s="50">
        <f>D238+D241+D244</f>
        <v>1508.6</v>
      </c>
      <c r="E237" s="50">
        <f>E238+E241+E244</f>
        <v>1285.6</v>
      </c>
      <c r="F237" s="50">
        <f>F238+F241+F244</f>
        <v>222.9999999999999</v>
      </c>
    </row>
    <row r="238" spans="1:6" s="20" customFormat="1" ht="24">
      <c r="A238" s="253" t="s">
        <v>614</v>
      </c>
      <c r="B238" s="250" t="s">
        <v>613</v>
      </c>
      <c r="C238" s="251"/>
      <c r="D238" s="51">
        <f aca="true" t="shared" si="44" ref="D238:F239">D239</f>
        <v>1250.6</v>
      </c>
      <c r="E238" s="51">
        <f t="shared" si="44"/>
        <v>970.6</v>
      </c>
      <c r="F238" s="51">
        <f t="shared" si="44"/>
        <v>279.9999999999999</v>
      </c>
    </row>
    <row r="239" spans="1:6" s="20" customFormat="1" ht="13.5" customHeight="1">
      <c r="A239" s="169" t="s">
        <v>265</v>
      </c>
      <c r="B239" s="250" t="s">
        <v>613</v>
      </c>
      <c r="C239" s="251" t="s">
        <v>229</v>
      </c>
      <c r="D239" s="51">
        <f t="shared" si="44"/>
        <v>1250.6</v>
      </c>
      <c r="E239" s="51">
        <f t="shared" si="44"/>
        <v>970.6</v>
      </c>
      <c r="F239" s="51">
        <f t="shared" si="44"/>
        <v>279.9999999999999</v>
      </c>
    </row>
    <row r="240" spans="1:6" s="20" customFormat="1" ht="12.75" customHeight="1">
      <c r="A240" s="284" t="s">
        <v>207</v>
      </c>
      <c r="B240" s="250" t="s">
        <v>613</v>
      </c>
      <c r="C240" s="251" t="s">
        <v>230</v>
      </c>
      <c r="D240" s="51">
        <f>752.6+218+280</f>
        <v>1250.6</v>
      </c>
      <c r="E240" s="51">
        <f>752.6+218</f>
        <v>970.6</v>
      </c>
      <c r="F240" s="51">
        <f>D240-E240</f>
        <v>279.9999999999999</v>
      </c>
    </row>
    <row r="241" spans="1:6" s="20" customFormat="1" ht="12.75">
      <c r="A241" s="253" t="s">
        <v>463</v>
      </c>
      <c r="B241" s="250" t="s">
        <v>462</v>
      </c>
      <c r="C241" s="251"/>
      <c r="D241" s="51">
        <f aca="true" t="shared" si="45" ref="D241:F242">D242</f>
        <v>150</v>
      </c>
      <c r="E241" s="51">
        <f t="shared" si="45"/>
        <v>150</v>
      </c>
      <c r="F241" s="51">
        <f t="shared" si="45"/>
        <v>0</v>
      </c>
    </row>
    <row r="242" spans="1:6" s="20" customFormat="1" ht="13.5" customHeight="1">
      <c r="A242" s="169" t="s">
        <v>265</v>
      </c>
      <c r="B242" s="250" t="s">
        <v>462</v>
      </c>
      <c r="C242" s="251" t="s">
        <v>229</v>
      </c>
      <c r="D242" s="51">
        <f t="shared" si="45"/>
        <v>150</v>
      </c>
      <c r="E242" s="51">
        <f t="shared" si="45"/>
        <v>150</v>
      </c>
      <c r="F242" s="51">
        <f t="shared" si="45"/>
        <v>0</v>
      </c>
    </row>
    <row r="243" spans="1:6" s="20" customFormat="1" ht="12.75" customHeight="1">
      <c r="A243" s="284" t="s">
        <v>207</v>
      </c>
      <c r="B243" s="250" t="s">
        <v>462</v>
      </c>
      <c r="C243" s="251" t="s">
        <v>230</v>
      </c>
      <c r="D243" s="51">
        <f>1542-173-400-50-100-774+105</f>
        <v>150</v>
      </c>
      <c r="E243" s="51">
        <f>1542-173-400-50-100-774+105</f>
        <v>150</v>
      </c>
      <c r="F243" s="51">
        <f>D243-E243</f>
        <v>0</v>
      </c>
    </row>
    <row r="244" spans="1:6" s="20" customFormat="1" ht="12.75">
      <c r="A244" s="253" t="s">
        <v>288</v>
      </c>
      <c r="B244" s="250" t="s">
        <v>461</v>
      </c>
      <c r="C244" s="251"/>
      <c r="D244" s="51">
        <f aca="true" t="shared" si="46" ref="D244:F245">D245</f>
        <v>108</v>
      </c>
      <c r="E244" s="51">
        <f t="shared" si="46"/>
        <v>165</v>
      </c>
      <c r="F244" s="51">
        <f t="shared" si="46"/>
        <v>-57</v>
      </c>
    </row>
    <row r="245" spans="1:6" s="20" customFormat="1" ht="12.75" customHeight="1">
      <c r="A245" s="253" t="s">
        <v>107</v>
      </c>
      <c r="B245" s="250" t="s">
        <v>461</v>
      </c>
      <c r="C245" s="251" t="s">
        <v>100</v>
      </c>
      <c r="D245" s="51">
        <f t="shared" si="46"/>
        <v>108</v>
      </c>
      <c r="E245" s="51">
        <f t="shared" si="46"/>
        <v>165</v>
      </c>
      <c r="F245" s="51">
        <f t="shared" si="46"/>
        <v>-57</v>
      </c>
    </row>
    <row r="246" spans="1:6" s="20" customFormat="1" ht="12.75" customHeight="1">
      <c r="A246" s="284" t="s">
        <v>242</v>
      </c>
      <c r="B246" s="250" t="s">
        <v>461</v>
      </c>
      <c r="C246" s="251" t="s">
        <v>243</v>
      </c>
      <c r="D246" s="51">
        <v>108</v>
      </c>
      <c r="E246" s="51">
        <v>165</v>
      </c>
      <c r="F246" s="51">
        <f>D246-E246</f>
        <v>-57</v>
      </c>
    </row>
    <row r="247" spans="1:6" s="20" customFormat="1" ht="12.75">
      <c r="A247" s="285" t="s">
        <v>301</v>
      </c>
      <c r="B247" s="248" t="s">
        <v>7</v>
      </c>
      <c r="C247" s="249"/>
      <c r="D247" s="50">
        <f>D253+D248</f>
        <v>6440.6</v>
      </c>
      <c r="E247" s="50">
        <f>E253+E248</f>
        <v>6440.6</v>
      </c>
      <c r="F247" s="50">
        <f>F253+F248</f>
        <v>0</v>
      </c>
    </row>
    <row r="248" spans="1:6" s="20" customFormat="1" ht="24">
      <c r="A248" s="253" t="s">
        <v>609</v>
      </c>
      <c r="B248" s="250" t="s">
        <v>608</v>
      </c>
      <c r="C248" s="251"/>
      <c r="D248" s="51">
        <f aca="true" t="shared" si="47" ref="D248:F249">D249</f>
        <v>2670.6</v>
      </c>
      <c r="E248" s="51">
        <f t="shared" si="47"/>
        <v>2670.6</v>
      </c>
      <c r="F248" s="51">
        <f t="shared" si="47"/>
        <v>0</v>
      </c>
    </row>
    <row r="249" spans="1:6" s="20" customFormat="1" ht="12.75" customHeight="1">
      <c r="A249" s="169" t="s">
        <v>265</v>
      </c>
      <c r="B249" s="250" t="s">
        <v>608</v>
      </c>
      <c r="C249" s="251" t="s">
        <v>229</v>
      </c>
      <c r="D249" s="51">
        <f t="shared" si="47"/>
        <v>2670.6</v>
      </c>
      <c r="E249" s="51">
        <f t="shared" si="47"/>
        <v>2670.6</v>
      </c>
      <c r="F249" s="51">
        <f t="shared" si="47"/>
        <v>0</v>
      </c>
    </row>
    <row r="250" spans="1:6" s="20" customFormat="1" ht="14.25" customHeight="1">
      <c r="A250" s="284" t="s">
        <v>207</v>
      </c>
      <c r="B250" s="250" t="s">
        <v>608</v>
      </c>
      <c r="C250" s="251" t="s">
        <v>230</v>
      </c>
      <c r="D250" s="51">
        <v>2670.6</v>
      </c>
      <c r="E250" s="51">
        <v>2670.6</v>
      </c>
      <c r="F250" s="51">
        <f>D250-E250</f>
        <v>0</v>
      </c>
    </row>
    <row r="251" spans="1:6" s="20" customFormat="1" ht="13.5" customHeight="1">
      <c r="A251" s="253" t="s">
        <v>272</v>
      </c>
      <c r="B251" s="250" t="s">
        <v>302</v>
      </c>
      <c r="C251" s="251"/>
      <c r="D251" s="51">
        <f>D252</f>
        <v>3770</v>
      </c>
      <c r="E251" s="51">
        <f>E252</f>
        <v>3770</v>
      </c>
      <c r="F251" s="51">
        <f>F252</f>
        <v>0</v>
      </c>
    </row>
    <row r="252" spans="1:6" s="20" customFormat="1" ht="12.75" customHeight="1">
      <c r="A252" s="252" t="s">
        <v>264</v>
      </c>
      <c r="B252" s="250" t="s">
        <v>302</v>
      </c>
      <c r="C252" s="251" t="s">
        <v>216</v>
      </c>
      <c r="D252" s="51">
        <f>SUM(D253)</f>
        <v>3770</v>
      </c>
      <c r="E252" s="51">
        <f>SUM(E253)</f>
        <v>3770</v>
      </c>
      <c r="F252" s="51">
        <f>SUM(F253)</f>
        <v>0</v>
      </c>
    </row>
    <row r="253" spans="1:6" s="20" customFormat="1" ht="12.75" customHeight="1">
      <c r="A253" s="252" t="s">
        <v>217</v>
      </c>
      <c r="B253" s="250" t="s">
        <v>302</v>
      </c>
      <c r="C253" s="251" t="s">
        <v>215</v>
      </c>
      <c r="D253" s="51">
        <v>3770</v>
      </c>
      <c r="E253" s="51">
        <v>3770</v>
      </c>
      <c r="F253" s="51">
        <f>D253-E253</f>
        <v>0</v>
      </c>
    </row>
    <row r="254" spans="1:6" s="20" customFormat="1" ht="24">
      <c r="A254" s="285" t="s">
        <v>437</v>
      </c>
      <c r="B254" s="248" t="s">
        <v>96</v>
      </c>
      <c r="C254" s="286"/>
      <c r="D254" s="50">
        <f>D255</f>
        <v>40</v>
      </c>
      <c r="E254" s="50">
        <f>E255</f>
        <v>40</v>
      </c>
      <c r="F254" s="50">
        <f>F255</f>
        <v>0</v>
      </c>
    </row>
    <row r="255" spans="1:6" s="20" customFormat="1" ht="24">
      <c r="A255" s="253" t="s">
        <v>111</v>
      </c>
      <c r="B255" s="250" t="s">
        <v>458</v>
      </c>
      <c r="C255" s="251"/>
      <c r="D255" s="51">
        <f>D256+D258</f>
        <v>40</v>
      </c>
      <c r="E255" s="51">
        <f>E256+E258</f>
        <v>40</v>
      </c>
      <c r="F255" s="51">
        <f>F256+F258</f>
        <v>0</v>
      </c>
    </row>
    <row r="256" spans="1:6" s="36" customFormat="1" ht="12.75" customHeight="1">
      <c r="A256" s="252" t="s">
        <v>264</v>
      </c>
      <c r="B256" s="250" t="s">
        <v>458</v>
      </c>
      <c r="C256" s="251" t="s">
        <v>216</v>
      </c>
      <c r="D256" s="51">
        <f>D257</f>
        <v>10</v>
      </c>
      <c r="E256" s="51">
        <f>E257</f>
        <v>10</v>
      </c>
      <c r="F256" s="51">
        <f>F257</f>
        <v>0</v>
      </c>
    </row>
    <row r="257" spans="1:6" s="36" customFormat="1" ht="15" customHeight="1">
      <c r="A257" s="252" t="s">
        <v>217</v>
      </c>
      <c r="B257" s="250" t="s">
        <v>458</v>
      </c>
      <c r="C257" s="251" t="s">
        <v>215</v>
      </c>
      <c r="D257" s="51">
        <v>10</v>
      </c>
      <c r="E257" s="51">
        <v>10</v>
      </c>
      <c r="F257" s="51">
        <f>D257-E257</f>
        <v>0</v>
      </c>
    </row>
    <row r="258" spans="1:6" s="36" customFormat="1" ht="24" customHeight="1">
      <c r="A258" s="169" t="s">
        <v>220</v>
      </c>
      <c r="B258" s="250" t="s">
        <v>458</v>
      </c>
      <c r="C258" s="251" t="s">
        <v>206</v>
      </c>
      <c r="D258" s="51">
        <f>D259</f>
        <v>30</v>
      </c>
      <c r="E258" s="51">
        <f>E259</f>
        <v>30</v>
      </c>
      <c r="F258" s="51">
        <f>F259</f>
        <v>0</v>
      </c>
    </row>
    <row r="259" spans="1:6" s="36" customFormat="1" ht="15" customHeight="1">
      <c r="A259" s="170" t="s">
        <v>221</v>
      </c>
      <c r="B259" s="250" t="s">
        <v>458</v>
      </c>
      <c r="C259" s="251" t="s">
        <v>222</v>
      </c>
      <c r="D259" s="51">
        <v>30</v>
      </c>
      <c r="E259" s="51">
        <v>30</v>
      </c>
      <c r="F259" s="51">
        <f>D259-E259</f>
        <v>0</v>
      </c>
    </row>
    <row r="260" spans="1:6" s="20" customFormat="1" ht="12.75">
      <c r="A260" s="287" t="s">
        <v>521</v>
      </c>
      <c r="B260" s="248" t="s">
        <v>60</v>
      </c>
      <c r="C260" s="249"/>
      <c r="D260" s="50">
        <f>D261+D268</f>
        <v>2773.7999999999997</v>
      </c>
      <c r="E260" s="50">
        <f>E261+E268</f>
        <v>2773.7999999999997</v>
      </c>
      <c r="F260" s="50">
        <f>F261+F268</f>
        <v>0</v>
      </c>
    </row>
    <row r="261" spans="1:6" s="20" customFormat="1" ht="36">
      <c r="A261" s="288" t="s">
        <v>546</v>
      </c>
      <c r="B261" s="271" t="s">
        <v>381</v>
      </c>
      <c r="C261" s="272"/>
      <c r="D261" s="50">
        <f>D262</f>
        <v>2743.7999999999997</v>
      </c>
      <c r="E261" s="50">
        <f>E262</f>
        <v>2743.7999999999997</v>
      </c>
      <c r="F261" s="50">
        <f>F262</f>
        <v>0</v>
      </c>
    </row>
    <row r="262" spans="1:6" s="22" customFormat="1" ht="12.75">
      <c r="A262" s="170" t="s">
        <v>127</v>
      </c>
      <c r="B262" s="259" t="s">
        <v>545</v>
      </c>
      <c r="C262" s="257"/>
      <c r="D262" s="50">
        <f>D263+D265</f>
        <v>2743.7999999999997</v>
      </c>
      <c r="E262" s="50">
        <f>E263+E265</f>
        <v>2743.7999999999997</v>
      </c>
      <c r="F262" s="50">
        <f>F263+F265</f>
        <v>0</v>
      </c>
    </row>
    <row r="263" spans="1:6" s="20" customFormat="1" ht="36" customHeight="1">
      <c r="A263" s="252" t="s">
        <v>139</v>
      </c>
      <c r="B263" s="259" t="s">
        <v>545</v>
      </c>
      <c r="C263" s="260" t="s">
        <v>228</v>
      </c>
      <c r="D263" s="51">
        <f>D264</f>
        <v>2723.7999999999997</v>
      </c>
      <c r="E263" s="51">
        <f>E264</f>
        <v>2723.7999999999997</v>
      </c>
      <c r="F263" s="51">
        <f>F264</f>
        <v>0</v>
      </c>
    </row>
    <row r="264" spans="1:6" s="20" customFormat="1" ht="12.75" customHeight="1">
      <c r="A264" s="252" t="s">
        <v>307</v>
      </c>
      <c r="B264" s="259" t="s">
        <v>545</v>
      </c>
      <c r="C264" s="260" t="s">
        <v>306</v>
      </c>
      <c r="D264" s="51">
        <f>2919.1-150-45.3</f>
        <v>2723.7999999999997</v>
      </c>
      <c r="E264" s="51">
        <f>2919.1-150-45.3</f>
        <v>2723.7999999999997</v>
      </c>
      <c r="F264" s="51">
        <f>D264-E264</f>
        <v>0</v>
      </c>
    </row>
    <row r="265" spans="1:6" s="20" customFormat="1" ht="24.75" customHeight="1">
      <c r="A265" s="122" t="s">
        <v>662</v>
      </c>
      <c r="B265" s="292" t="s">
        <v>663</v>
      </c>
      <c r="C265" s="257"/>
      <c r="D265" s="51">
        <f aca="true" t="shared" si="48" ref="D265:F266">D266</f>
        <v>20</v>
      </c>
      <c r="E265" s="51">
        <f t="shared" si="48"/>
        <v>20</v>
      </c>
      <c r="F265" s="51">
        <f t="shared" si="48"/>
        <v>0</v>
      </c>
    </row>
    <row r="266" spans="1:6" s="20" customFormat="1" ht="17.25" customHeight="1">
      <c r="A266" s="252" t="s">
        <v>264</v>
      </c>
      <c r="B266" s="292" t="s">
        <v>663</v>
      </c>
      <c r="C266" s="260" t="s">
        <v>216</v>
      </c>
      <c r="D266" s="51">
        <f t="shared" si="48"/>
        <v>20</v>
      </c>
      <c r="E266" s="51">
        <f t="shared" si="48"/>
        <v>20</v>
      </c>
      <c r="F266" s="51">
        <f t="shared" si="48"/>
        <v>0</v>
      </c>
    </row>
    <row r="267" spans="1:6" s="20" customFormat="1" ht="17.25" customHeight="1">
      <c r="A267" s="252" t="s">
        <v>217</v>
      </c>
      <c r="B267" s="292" t="s">
        <v>663</v>
      </c>
      <c r="C267" s="260" t="s">
        <v>215</v>
      </c>
      <c r="D267" s="51">
        <v>20</v>
      </c>
      <c r="E267" s="51">
        <v>20</v>
      </c>
      <c r="F267" s="51">
        <f>D267-E267</f>
        <v>0</v>
      </c>
    </row>
    <row r="268" spans="1:6" s="20" customFormat="1" ht="12.75">
      <c r="A268" s="278" t="s">
        <v>547</v>
      </c>
      <c r="B268" s="271" t="s">
        <v>62</v>
      </c>
      <c r="C268" s="272"/>
      <c r="D268" s="50">
        <f>D269</f>
        <v>30</v>
      </c>
      <c r="E268" s="50">
        <f>E269</f>
        <v>30</v>
      </c>
      <c r="F268" s="50">
        <f>F269</f>
        <v>0</v>
      </c>
    </row>
    <row r="269" spans="1:6" s="20" customFormat="1" ht="12.75">
      <c r="A269" s="289" t="s">
        <v>64</v>
      </c>
      <c r="B269" s="250" t="s">
        <v>63</v>
      </c>
      <c r="C269" s="251"/>
      <c r="D269" s="51">
        <f>SUM(D270)</f>
        <v>30</v>
      </c>
      <c r="E269" s="51">
        <f>SUM(E270)</f>
        <v>30</v>
      </c>
      <c r="F269" s="51">
        <f>SUM(F270)</f>
        <v>0</v>
      </c>
    </row>
    <row r="270" spans="1:6" s="20" customFormat="1" ht="11.25" customHeight="1">
      <c r="A270" s="252" t="s">
        <v>264</v>
      </c>
      <c r="B270" s="250" t="s">
        <v>63</v>
      </c>
      <c r="C270" s="251" t="s">
        <v>216</v>
      </c>
      <c r="D270" s="51">
        <f>D271</f>
        <v>30</v>
      </c>
      <c r="E270" s="51">
        <f>E271</f>
        <v>30</v>
      </c>
      <c r="F270" s="51">
        <f>F271</f>
        <v>0</v>
      </c>
    </row>
    <row r="271" spans="1:6" s="20" customFormat="1" ht="17.25" customHeight="1">
      <c r="A271" s="252" t="s">
        <v>217</v>
      </c>
      <c r="B271" s="250" t="s">
        <v>63</v>
      </c>
      <c r="C271" s="251" t="s">
        <v>215</v>
      </c>
      <c r="D271" s="51">
        <v>30</v>
      </c>
      <c r="E271" s="51">
        <v>30</v>
      </c>
      <c r="F271" s="51">
        <f>D271-E271</f>
        <v>0</v>
      </c>
    </row>
    <row r="272" spans="1:6" s="20" customFormat="1" ht="12.75">
      <c r="A272" s="285" t="s">
        <v>544</v>
      </c>
      <c r="B272" s="248" t="s">
        <v>419</v>
      </c>
      <c r="C272" s="286"/>
      <c r="D272" s="50">
        <f aca="true" t="shared" si="49" ref="D272:F274">D273</f>
        <v>8514.3</v>
      </c>
      <c r="E272" s="50">
        <f t="shared" si="49"/>
        <v>8514.3</v>
      </c>
      <c r="F272" s="50">
        <f t="shared" si="49"/>
        <v>0</v>
      </c>
    </row>
    <row r="273" spans="1:6" s="20" customFormat="1" ht="36">
      <c r="A273" s="253" t="s">
        <v>421</v>
      </c>
      <c r="B273" s="250" t="s">
        <v>422</v>
      </c>
      <c r="C273" s="251"/>
      <c r="D273" s="51">
        <f t="shared" si="49"/>
        <v>8514.3</v>
      </c>
      <c r="E273" s="51">
        <f t="shared" si="49"/>
        <v>8514.3</v>
      </c>
      <c r="F273" s="51">
        <f t="shared" si="49"/>
        <v>0</v>
      </c>
    </row>
    <row r="274" spans="1:6" s="36" customFormat="1" ht="12.75" customHeight="1">
      <c r="A274" s="169" t="s">
        <v>203</v>
      </c>
      <c r="B274" s="250" t="s">
        <v>422</v>
      </c>
      <c r="C274" s="251" t="s">
        <v>204</v>
      </c>
      <c r="D274" s="51">
        <f t="shared" si="49"/>
        <v>8514.3</v>
      </c>
      <c r="E274" s="51">
        <f t="shared" si="49"/>
        <v>8514.3</v>
      </c>
      <c r="F274" s="51">
        <f t="shared" si="49"/>
        <v>0</v>
      </c>
    </row>
    <row r="275" spans="1:6" s="36" customFormat="1" ht="15" customHeight="1">
      <c r="A275" s="170" t="s">
        <v>234</v>
      </c>
      <c r="B275" s="250" t="s">
        <v>422</v>
      </c>
      <c r="C275" s="251" t="s">
        <v>233</v>
      </c>
      <c r="D275" s="51">
        <v>8514.3</v>
      </c>
      <c r="E275" s="51">
        <v>8514.3</v>
      </c>
      <c r="F275" s="51">
        <f>D275-E275</f>
        <v>0</v>
      </c>
    </row>
    <row r="276" spans="1:9" s="36" customFormat="1" ht="25.5" customHeight="1">
      <c r="A276" s="279" t="s">
        <v>436</v>
      </c>
      <c r="B276" s="248" t="s">
        <v>44</v>
      </c>
      <c r="C276" s="249"/>
      <c r="D276" s="50">
        <f>D277+D297</f>
        <v>29507.696</v>
      </c>
      <c r="E276" s="50">
        <f>E277+E297</f>
        <v>29507.6</v>
      </c>
      <c r="F276" s="50">
        <f>F277+F297</f>
        <v>0.09600000000136788</v>
      </c>
      <c r="I276" s="43"/>
    </row>
    <row r="277" spans="1:9" s="36" customFormat="1" ht="28.5" customHeight="1">
      <c r="A277" s="290" t="s">
        <v>447</v>
      </c>
      <c r="B277" s="271" t="s">
        <v>263</v>
      </c>
      <c r="C277" s="272"/>
      <c r="D277" s="50">
        <f>D281+D286+D291+D294+D278</f>
        <v>9484.8</v>
      </c>
      <c r="E277" s="50">
        <f>E281+E286+E291+E294+E278</f>
        <v>9484.8</v>
      </c>
      <c r="F277" s="50">
        <f>F281+F286+F291+F294+F278</f>
        <v>0</v>
      </c>
      <c r="I277" s="43"/>
    </row>
    <row r="278" spans="1:9" s="36" customFormat="1" ht="12.75">
      <c r="A278" s="284" t="s">
        <v>463</v>
      </c>
      <c r="B278" s="250" t="s">
        <v>658</v>
      </c>
      <c r="C278" s="251"/>
      <c r="D278" s="51">
        <f aca="true" t="shared" si="50" ref="D278:F279">D279</f>
        <v>5841.2</v>
      </c>
      <c r="E278" s="51">
        <f t="shared" si="50"/>
        <v>5841.2</v>
      </c>
      <c r="F278" s="51">
        <f t="shared" si="50"/>
        <v>0</v>
      </c>
      <c r="I278" s="43"/>
    </row>
    <row r="279" spans="1:9" s="36" customFormat="1" ht="12.75">
      <c r="A279" s="169" t="s">
        <v>265</v>
      </c>
      <c r="B279" s="250" t="s">
        <v>658</v>
      </c>
      <c r="C279" s="251" t="s">
        <v>229</v>
      </c>
      <c r="D279" s="51">
        <f t="shared" si="50"/>
        <v>5841.2</v>
      </c>
      <c r="E279" s="51">
        <f t="shared" si="50"/>
        <v>5841.2</v>
      </c>
      <c r="F279" s="51">
        <f t="shared" si="50"/>
        <v>0</v>
      </c>
      <c r="I279" s="43"/>
    </row>
    <row r="280" spans="1:9" s="36" customFormat="1" ht="12.75">
      <c r="A280" s="284" t="s">
        <v>207</v>
      </c>
      <c r="B280" s="250" t="s">
        <v>658</v>
      </c>
      <c r="C280" s="251" t="s">
        <v>230</v>
      </c>
      <c r="D280" s="51">
        <f>2500+1560+1781.2</f>
        <v>5841.2</v>
      </c>
      <c r="E280" s="51">
        <f>2500+1560+1781.2</f>
        <v>5841.2</v>
      </c>
      <c r="F280" s="51">
        <f>D280-E280</f>
        <v>0</v>
      </c>
      <c r="I280" s="43"/>
    </row>
    <row r="281" spans="1:9" s="36" customFormat="1" ht="24">
      <c r="A281" s="284" t="s">
        <v>564</v>
      </c>
      <c r="B281" s="250" t="s">
        <v>574</v>
      </c>
      <c r="C281" s="251"/>
      <c r="D281" s="51">
        <f>D284+D282</f>
        <v>103</v>
      </c>
      <c r="E281" s="51">
        <f>E284+E282</f>
        <v>95</v>
      </c>
      <c r="F281" s="51">
        <f>F284+F282</f>
        <v>8</v>
      </c>
      <c r="I281" s="43"/>
    </row>
    <row r="282" spans="1:9" s="36" customFormat="1" ht="28.5" customHeight="1">
      <c r="A282" s="284" t="s">
        <v>220</v>
      </c>
      <c r="B282" s="250" t="s">
        <v>574</v>
      </c>
      <c r="C282" s="251" t="s">
        <v>216</v>
      </c>
      <c r="D282" s="51">
        <f aca="true" t="shared" si="51" ref="D282:F284">D283</f>
        <v>58</v>
      </c>
      <c r="E282" s="51">
        <f t="shared" si="51"/>
        <v>50</v>
      </c>
      <c r="F282" s="51">
        <f t="shared" si="51"/>
        <v>8</v>
      </c>
      <c r="I282" s="43"/>
    </row>
    <row r="283" spans="1:9" s="36" customFormat="1" ht="12.75">
      <c r="A283" s="284" t="s">
        <v>221</v>
      </c>
      <c r="B283" s="250" t="s">
        <v>574</v>
      </c>
      <c r="C283" s="251" t="s">
        <v>215</v>
      </c>
      <c r="D283" s="51">
        <v>58</v>
      </c>
      <c r="E283" s="51">
        <v>50</v>
      </c>
      <c r="F283" s="51">
        <f>D283-E283</f>
        <v>8</v>
      </c>
      <c r="I283" s="43"/>
    </row>
    <row r="284" spans="1:9" s="36" customFormat="1" ht="24">
      <c r="A284" s="284" t="s">
        <v>220</v>
      </c>
      <c r="B284" s="250" t="s">
        <v>574</v>
      </c>
      <c r="C284" s="251" t="s">
        <v>206</v>
      </c>
      <c r="D284" s="51">
        <f t="shared" si="51"/>
        <v>45</v>
      </c>
      <c r="E284" s="51">
        <f t="shared" si="51"/>
        <v>45</v>
      </c>
      <c r="F284" s="51">
        <f t="shared" si="51"/>
        <v>0</v>
      </c>
      <c r="I284" s="43"/>
    </row>
    <row r="285" spans="1:9" s="36" customFormat="1" ht="12.75">
      <c r="A285" s="284" t="s">
        <v>221</v>
      </c>
      <c r="B285" s="250" t="s">
        <v>574</v>
      </c>
      <c r="C285" s="251" t="s">
        <v>222</v>
      </c>
      <c r="D285" s="51">
        <v>45</v>
      </c>
      <c r="E285" s="51">
        <v>45</v>
      </c>
      <c r="F285" s="51">
        <f>D285-E285</f>
        <v>0</v>
      </c>
      <c r="I285" s="43"/>
    </row>
    <row r="286" spans="1:9" s="32" customFormat="1" ht="12.75">
      <c r="A286" s="284" t="s">
        <v>389</v>
      </c>
      <c r="B286" s="250" t="s">
        <v>45</v>
      </c>
      <c r="C286" s="251"/>
      <c r="D286" s="51">
        <f>D288+D290</f>
        <v>351.5</v>
      </c>
      <c r="E286" s="51">
        <f>E288+E290</f>
        <v>359.5</v>
      </c>
      <c r="F286" s="51">
        <f>F288+F290</f>
        <v>-8</v>
      </c>
      <c r="I286" s="44"/>
    </row>
    <row r="287" spans="1:9" ht="15.75" customHeight="1">
      <c r="A287" s="252" t="s">
        <v>264</v>
      </c>
      <c r="B287" s="250" t="s">
        <v>45</v>
      </c>
      <c r="C287" s="251" t="s">
        <v>216</v>
      </c>
      <c r="D287" s="51">
        <f>D288</f>
        <v>321.5</v>
      </c>
      <c r="E287" s="51">
        <f>E288</f>
        <v>329.5</v>
      </c>
      <c r="F287" s="51">
        <f>F288</f>
        <v>-8</v>
      </c>
      <c r="I287" s="3"/>
    </row>
    <row r="288" spans="1:9" ht="15.75" customHeight="1">
      <c r="A288" s="252" t="s">
        <v>217</v>
      </c>
      <c r="B288" s="250" t="s">
        <v>45</v>
      </c>
      <c r="C288" s="251" t="s">
        <v>215</v>
      </c>
      <c r="D288" s="51">
        <v>321.5</v>
      </c>
      <c r="E288" s="51">
        <v>329.5</v>
      </c>
      <c r="F288" s="51">
        <f>D288-E288</f>
        <v>-8</v>
      </c>
      <c r="I288" s="3"/>
    </row>
    <row r="289" spans="1:6" s="36" customFormat="1" ht="24" customHeight="1">
      <c r="A289" s="284" t="s">
        <v>220</v>
      </c>
      <c r="B289" s="250" t="s">
        <v>45</v>
      </c>
      <c r="C289" s="251" t="s">
        <v>206</v>
      </c>
      <c r="D289" s="51">
        <f>D290</f>
        <v>30</v>
      </c>
      <c r="E289" s="51">
        <f>E290</f>
        <v>30</v>
      </c>
      <c r="F289" s="51">
        <f>F290</f>
        <v>0</v>
      </c>
    </row>
    <row r="290" spans="1:6" s="36" customFormat="1" ht="12.75" customHeight="1">
      <c r="A290" s="284" t="s">
        <v>221</v>
      </c>
      <c r="B290" s="250" t="s">
        <v>45</v>
      </c>
      <c r="C290" s="251" t="s">
        <v>222</v>
      </c>
      <c r="D290" s="51">
        <v>30</v>
      </c>
      <c r="E290" s="51">
        <v>30</v>
      </c>
      <c r="F290" s="51">
        <f>D290-E290</f>
        <v>0</v>
      </c>
    </row>
    <row r="291" spans="1:9" ht="15.75">
      <c r="A291" s="284" t="s">
        <v>320</v>
      </c>
      <c r="B291" s="250" t="s">
        <v>291</v>
      </c>
      <c r="C291" s="251"/>
      <c r="D291" s="51">
        <f aca="true" t="shared" si="52" ref="D291:F292">D292</f>
        <v>90</v>
      </c>
      <c r="E291" s="51">
        <f t="shared" si="52"/>
        <v>90</v>
      </c>
      <c r="F291" s="51">
        <f t="shared" si="52"/>
        <v>0</v>
      </c>
      <c r="I291" s="3"/>
    </row>
    <row r="292" spans="1:6" s="36" customFormat="1" ht="21" customHeight="1">
      <c r="A292" s="284" t="s">
        <v>220</v>
      </c>
      <c r="B292" s="250" t="s">
        <v>291</v>
      </c>
      <c r="C292" s="251" t="s">
        <v>206</v>
      </c>
      <c r="D292" s="51">
        <f t="shared" si="52"/>
        <v>90</v>
      </c>
      <c r="E292" s="51">
        <f t="shared" si="52"/>
        <v>90</v>
      </c>
      <c r="F292" s="51">
        <f t="shared" si="52"/>
        <v>0</v>
      </c>
    </row>
    <row r="293" spans="1:6" s="36" customFormat="1" ht="18" customHeight="1">
      <c r="A293" s="284" t="s">
        <v>221</v>
      </c>
      <c r="B293" s="250" t="s">
        <v>291</v>
      </c>
      <c r="C293" s="251" t="s">
        <v>222</v>
      </c>
      <c r="D293" s="51">
        <v>90</v>
      </c>
      <c r="E293" s="51">
        <v>90</v>
      </c>
      <c r="F293" s="51">
        <f>D293-E293</f>
        <v>0</v>
      </c>
    </row>
    <row r="294" spans="1:6" s="36" customFormat="1" ht="18" customHeight="1">
      <c r="A294" s="284" t="s">
        <v>379</v>
      </c>
      <c r="B294" s="250" t="s">
        <v>321</v>
      </c>
      <c r="C294" s="251"/>
      <c r="D294" s="51">
        <f aca="true" t="shared" si="53" ref="D294:F295">D295</f>
        <v>3099.1</v>
      </c>
      <c r="E294" s="51">
        <f t="shared" si="53"/>
        <v>3099.1</v>
      </c>
      <c r="F294" s="51">
        <f t="shared" si="53"/>
        <v>0</v>
      </c>
    </row>
    <row r="295" spans="1:9" s="39" customFormat="1" ht="24.75" customHeight="1">
      <c r="A295" s="284" t="s">
        <v>220</v>
      </c>
      <c r="B295" s="250" t="s">
        <v>321</v>
      </c>
      <c r="C295" s="251" t="s">
        <v>206</v>
      </c>
      <c r="D295" s="51">
        <f t="shared" si="53"/>
        <v>3099.1</v>
      </c>
      <c r="E295" s="51">
        <f t="shared" si="53"/>
        <v>3099.1</v>
      </c>
      <c r="F295" s="51">
        <f t="shared" si="53"/>
        <v>0</v>
      </c>
      <c r="I295" s="5"/>
    </row>
    <row r="296" spans="1:9" ht="15.75" customHeight="1">
      <c r="A296" s="284" t="s">
        <v>221</v>
      </c>
      <c r="B296" s="250" t="s">
        <v>321</v>
      </c>
      <c r="C296" s="251" t="s">
        <v>222</v>
      </c>
      <c r="D296" s="51">
        <v>3099.1</v>
      </c>
      <c r="E296" s="51">
        <v>3099.1</v>
      </c>
      <c r="F296" s="51">
        <f>D296-E296</f>
        <v>0</v>
      </c>
      <c r="I296" s="3"/>
    </row>
    <row r="297" spans="1:9" ht="24.75">
      <c r="A297" s="290" t="s">
        <v>467</v>
      </c>
      <c r="B297" s="271" t="s">
        <v>46</v>
      </c>
      <c r="C297" s="272"/>
      <c r="D297" s="50">
        <f>D298+D301+D304+D307+D310+D313+D316+D319+D322+D325</f>
        <v>20022.896</v>
      </c>
      <c r="E297" s="50">
        <f>E298+E301+E304+E307+E310+E313+E316+E319+E322+E325</f>
        <v>20022.8</v>
      </c>
      <c r="F297" s="50">
        <f>D297-E297</f>
        <v>0.09600000000136788</v>
      </c>
      <c r="I297" s="3"/>
    </row>
    <row r="298" spans="1:9" ht="15.75">
      <c r="A298" s="284" t="s">
        <v>125</v>
      </c>
      <c r="B298" s="250" t="s">
        <v>481</v>
      </c>
      <c r="C298" s="251"/>
      <c r="D298" s="51">
        <f aca="true" t="shared" si="54" ref="D298:F299">D299</f>
        <v>9864.7</v>
      </c>
      <c r="E298" s="51">
        <f t="shared" si="54"/>
        <v>9864.7</v>
      </c>
      <c r="F298" s="51">
        <f t="shared" si="54"/>
        <v>0</v>
      </c>
      <c r="I298" s="3"/>
    </row>
    <row r="299" spans="1:9" ht="24.75" customHeight="1">
      <c r="A299" s="284" t="s">
        <v>220</v>
      </c>
      <c r="B299" s="250" t="s">
        <v>481</v>
      </c>
      <c r="C299" s="251" t="s">
        <v>206</v>
      </c>
      <c r="D299" s="51">
        <f t="shared" si="54"/>
        <v>9864.7</v>
      </c>
      <c r="E299" s="51">
        <f t="shared" si="54"/>
        <v>9864.7</v>
      </c>
      <c r="F299" s="51">
        <f t="shared" si="54"/>
        <v>0</v>
      </c>
      <c r="I299" s="3"/>
    </row>
    <row r="300" spans="1:9" ht="15.75" customHeight="1">
      <c r="A300" s="284" t="s">
        <v>221</v>
      </c>
      <c r="B300" s="250" t="s">
        <v>481</v>
      </c>
      <c r="C300" s="251" t="s">
        <v>222</v>
      </c>
      <c r="D300" s="51">
        <f>9764.7+100</f>
        <v>9864.7</v>
      </c>
      <c r="E300" s="51">
        <f>9764.7+100</f>
        <v>9864.7</v>
      </c>
      <c r="F300" s="51">
        <f>D300-E300</f>
        <v>0</v>
      </c>
      <c r="I300" s="3"/>
    </row>
    <row r="301" spans="1:9" ht="15" customHeight="1">
      <c r="A301" s="284" t="s">
        <v>253</v>
      </c>
      <c r="B301" s="250" t="s">
        <v>482</v>
      </c>
      <c r="C301" s="251"/>
      <c r="D301" s="51">
        <f aca="true" t="shared" si="55" ref="D301:F302">D302</f>
        <v>69.3</v>
      </c>
      <c r="E301" s="51">
        <f t="shared" si="55"/>
        <v>69.3</v>
      </c>
      <c r="F301" s="51">
        <f t="shared" si="55"/>
        <v>0</v>
      </c>
      <c r="I301" s="3"/>
    </row>
    <row r="302" spans="1:9" ht="15" customHeight="1">
      <c r="A302" s="284" t="s">
        <v>220</v>
      </c>
      <c r="B302" s="250" t="s">
        <v>482</v>
      </c>
      <c r="C302" s="251" t="s">
        <v>206</v>
      </c>
      <c r="D302" s="51">
        <f t="shared" si="55"/>
        <v>69.3</v>
      </c>
      <c r="E302" s="51">
        <f t="shared" si="55"/>
        <v>69.3</v>
      </c>
      <c r="F302" s="51">
        <f t="shared" si="55"/>
        <v>0</v>
      </c>
      <c r="I302" s="3"/>
    </row>
    <row r="303" spans="1:9" s="32" customFormat="1" ht="12.75" customHeight="1">
      <c r="A303" s="284" t="s">
        <v>221</v>
      </c>
      <c r="B303" s="250" t="s">
        <v>482</v>
      </c>
      <c r="C303" s="251" t="s">
        <v>222</v>
      </c>
      <c r="D303" s="51">
        <v>69.3</v>
      </c>
      <c r="E303" s="51">
        <v>69.3</v>
      </c>
      <c r="F303" s="51">
        <f>D303-E303</f>
        <v>0</v>
      </c>
      <c r="I303" s="44"/>
    </row>
    <row r="304" spans="1:9" s="32" customFormat="1" ht="12.75">
      <c r="A304" s="291" t="s">
        <v>8</v>
      </c>
      <c r="B304" s="292" t="s">
        <v>615</v>
      </c>
      <c r="C304" s="251"/>
      <c r="D304" s="51">
        <f aca="true" t="shared" si="56" ref="D304:F305">D305</f>
        <v>1096.4</v>
      </c>
      <c r="E304" s="51">
        <f t="shared" si="56"/>
        <v>1096.4</v>
      </c>
      <c r="F304" s="51">
        <f t="shared" si="56"/>
        <v>0</v>
      </c>
      <c r="I304" s="44"/>
    </row>
    <row r="305" spans="1:9" s="32" customFormat="1" ht="24" customHeight="1">
      <c r="A305" s="169" t="s">
        <v>317</v>
      </c>
      <c r="B305" s="292" t="s">
        <v>615</v>
      </c>
      <c r="C305" s="251" t="s">
        <v>356</v>
      </c>
      <c r="D305" s="51">
        <f t="shared" si="56"/>
        <v>1096.4</v>
      </c>
      <c r="E305" s="51">
        <f t="shared" si="56"/>
        <v>1096.4</v>
      </c>
      <c r="F305" s="51">
        <f t="shared" si="56"/>
        <v>0</v>
      </c>
      <c r="I305" s="44"/>
    </row>
    <row r="306" spans="1:9" s="32" customFormat="1" ht="12.75" customHeight="1">
      <c r="A306" s="291" t="s">
        <v>221</v>
      </c>
      <c r="B306" s="292" t="s">
        <v>615</v>
      </c>
      <c r="C306" s="251" t="s">
        <v>222</v>
      </c>
      <c r="D306" s="51">
        <v>1096.4</v>
      </c>
      <c r="E306" s="51">
        <v>1096.4</v>
      </c>
      <c r="F306" s="51">
        <f>D306-E306</f>
        <v>0</v>
      </c>
      <c r="I306" s="44"/>
    </row>
    <row r="307" spans="1:9" s="32" customFormat="1" ht="12.75">
      <c r="A307" s="284" t="s">
        <v>368</v>
      </c>
      <c r="B307" s="250" t="s">
        <v>645</v>
      </c>
      <c r="C307" s="251"/>
      <c r="D307" s="51">
        <f aca="true" t="shared" si="57" ref="D307:F308">D308</f>
        <v>1476.996</v>
      </c>
      <c r="E307" s="51">
        <f t="shared" si="57"/>
        <v>1450</v>
      </c>
      <c r="F307" s="51">
        <f t="shared" si="57"/>
        <v>26.996000000000095</v>
      </c>
      <c r="I307" s="44"/>
    </row>
    <row r="308" spans="1:9" ht="24.75" customHeight="1">
      <c r="A308" s="284" t="s">
        <v>317</v>
      </c>
      <c r="B308" s="250" t="s">
        <v>645</v>
      </c>
      <c r="C308" s="251" t="s">
        <v>356</v>
      </c>
      <c r="D308" s="51">
        <f t="shared" si="57"/>
        <v>1476.996</v>
      </c>
      <c r="E308" s="51">
        <f t="shared" si="57"/>
        <v>1450</v>
      </c>
      <c r="F308" s="51">
        <f t="shared" si="57"/>
        <v>26.996000000000095</v>
      </c>
      <c r="I308" s="3"/>
    </row>
    <row r="309" spans="1:9" s="32" customFormat="1" ht="12.75" customHeight="1">
      <c r="A309" s="284" t="s">
        <v>221</v>
      </c>
      <c r="B309" s="250" t="s">
        <v>645</v>
      </c>
      <c r="C309" s="251" t="s">
        <v>222</v>
      </c>
      <c r="D309" s="51">
        <v>1476.996</v>
      </c>
      <c r="E309" s="51">
        <v>1450</v>
      </c>
      <c r="F309" s="51">
        <f>D309-E309</f>
        <v>26.996000000000095</v>
      </c>
      <c r="I309" s="44"/>
    </row>
    <row r="310" spans="1:9" s="32" customFormat="1" ht="24">
      <c r="A310" s="284" t="s">
        <v>324</v>
      </c>
      <c r="B310" s="250" t="s">
        <v>483</v>
      </c>
      <c r="C310" s="251"/>
      <c r="D310" s="51">
        <f aca="true" t="shared" si="58" ref="D310:F311">D311</f>
        <v>20</v>
      </c>
      <c r="E310" s="51">
        <f t="shared" si="58"/>
        <v>20</v>
      </c>
      <c r="F310" s="51">
        <f t="shared" si="58"/>
        <v>0</v>
      </c>
      <c r="I310" s="44"/>
    </row>
    <row r="311" spans="1:9" ht="24" customHeight="1">
      <c r="A311" s="284" t="s">
        <v>220</v>
      </c>
      <c r="B311" s="250" t="s">
        <v>483</v>
      </c>
      <c r="C311" s="251" t="s">
        <v>356</v>
      </c>
      <c r="D311" s="51">
        <f t="shared" si="58"/>
        <v>20</v>
      </c>
      <c r="E311" s="51">
        <f t="shared" si="58"/>
        <v>20</v>
      </c>
      <c r="F311" s="51">
        <f t="shared" si="58"/>
        <v>0</v>
      </c>
      <c r="I311" s="3"/>
    </row>
    <row r="312" spans="1:9" s="32" customFormat="1" ht="14.25" customHeight="1">
      <c r="A312" s="284" t="s">
        <v>221</v>
      </c>
      <c r="B312" s="250" t="s">
        <v>483</v>
      </c>
      <c r="C312" s="251" t="s">
        <v>222</v>
      </c>
      <c r="D312" s="51">
        <v>20</v>
      </c>
      <c r="E312" s="51">
        <v>20</v>
      </c>
      <c r="F312" s="51">
        <f>D312-E312</f>
        <v>0</v>
      </c>
      <c r="I312" s="44"/>
    </row>
    <row r="313" spans="1:9" s="32" customFormat="1" ht="12.75">
      <c r="A313" s="284" t="s">
        <v>325</v>
      </c>
      <c r="B313" s="250" t="s">
        <v>484</v>
      </c>
      <c r="C313" s="251"/>
      <c r="D313" s="51">
        <f aca="true" t="shared" si="59" ref="D313:F314">D314</f>
        <v>162.8</v>
      </c>
      <c r="E313" s="51">
        <f t="shared" si="59"/>
        <v>162.8</v>
      </c>
      <c r="F313" s="51">
        <f t="shared" si="59"/>
        <v>0</v>
      </c>
      <c r="I313" s="44"/>
    </row>
    <row r="314" spans="1:6" s="32" customFormat="1" ht="24" customHeight="1">
      <c r="A314" s="284" t="s">
        <v>220</v>
      </c>
      <c r="B314" s="250" t="s">
        <v>484</v>
      </c>
      <c r="C314" s="251" t="s">
        <v>356</v>
      </c>
      <c r="D314" s="51">
        <f t="shared" si="59"/>
        <v>162.8</v>
      </c>
      <c r="E314" s="51">
        <f t="shared" si="59"/>
        <v>162.8</v>
      </c>
      <c r="F314" s="51">
        <f t="shared" si="59"/>
        <v>0</v>
      </c>
    </row>
    <row r="315" spans="1:6" s="32" customFormat="1" ht="16.5" customHeight="1">
      <c r="A315" s="284" t="s">
        <v>221</v>
      </c>
      <c r="B315" s="250" t="s">
        <v>484</v>
      </c>
      <c r="C315" s="251" t="s">
        <v>222</v>
      </c>
      <c r="D315" s="51">
        <f>235-72.2</f>
        <v>162.8</v>
      </c>
      <c r="E315" s="51">
        <f>235-72.2</f>
        <v>162.8</v>
      </c>
      <c r="F315" s="51">
        <f>D315-E315</f>
        <v>0</v>
      </c>
    </row>
    <row r="316" spans="1:6" s="32" customFormat="1" ht="16.5" customHeight="1">
      <c r="A316" s="284" t="s">
        <v>326</v>
      </c>
      <c r="B316" s="250" t="s">
        <v>571</v>
      </c>
      <c r="C316" s="251"/>
      <c r="D316" s="51">
        <f aca="true" t="shared" si="60" ref="D316:F317">D317</f>
        <v>1100.7</v>
      </c>
      <c r="E316" s="51">
        <f t="shared" si="60"/>
        <v>1100.6</v>
      </c>
      <c r="F316" s="51">
        <f t="shared" si="60"/>
        <v>0.10000000000013642</v>
      </c>
    </row>
    <row r="317" spans="1:6" s="32" customFormat="1" ht="20.25" customHeight="1">
      <c r="A317" s="284" t="s">
        <v>220</v>
      </c>
      <c r="B317" s="250" t="s">
        <v>571</v>
      </c>
      <c r="C317" s="251" t="s">
        <v>206</v>
      </c>
      <c r="D317" s="51">
        <f t="shared" si="60"/>
        <v>1100.7</v>
      </c>
      <c r="E317" s="51">
        <f t="shared" si="60"/>
        <v>1100.6</v>
      </c>
      <c r="F317" s="51">
        <f t="shared" si="60"/>
        <v>0.10000000000013642</v>
      </c>
    </row>
    <row r="318" spans="1:6" s="32" customFormat="1" ht="16.5" customHeight="1">
      <c r="A318" s="284" t="s">
        <v>221</v>
      </c>
      <c r="B318" s="250" t="s">
        <v>571</v>
      </c>
      <c r="C318" s="251" t="s">
        <v>222</v>
      </c>
      <c r="D318" s="51">
        <v>1100.7</v>
      </c>
      <c r="E318" s="51">
        <v>1100.6</v>
      </c>
      <c r="F318" s="51">
        <f>D318-E318</f>
        <v>0.10000000000013642</v>
      </c>
    </row>
    <row r="319" spans="1:6" s="32" customFormat="1" ht="12.75">
      <c r="A319" s="284" t="s">
        <v>327</v>
      </c>
      <c r="B319" s="250" t="s">
        <v>485</v>
      </c>
      <c r="C319" s="251"/>
      <c r="D319" s="51">
        <f aca="true" t="shared" si="61" ref="D319:F320">D320</f>
        <v>909.2</v>
      </c>
      <c r="E319" s="51">
        <f t="shared" si="61"/>
        <v>936.2</v>
      </c>
      <c r="F319" s="51">
        <f t="shared" si="61"/>
        <v>-27</v>
      </c>
    </row>
    <row r="320" spans="1:6" s="32" customFormat="1" ht="24" customHeight="1">
      <c r="A320" s="284" t="s">
        <v>220</v>
      </c>
      <c r="B320" s="250" t="s">
        <v>485</v>
      </c>
      <c r="C320" s="251" t="s">
        <v>356</v>
      </c>
      <c r="D320" s="51">
        <f t="shared" si="61"/>
        <v>909.2</v>
      </c>
      <c r="E320" s="51">
        <f t="shared" si="61"/>
        <v>936.2</v>
      </c>
      <c r="F320" s="51">
        <f t="shared" si="61"/>
        <v>-27</v>
      </c>
    </row>
    <row r="321" spans="1:6" s="32" customFormat="1" ht="12.75" customHeight="1">
      <c r="A321" s="284" t="s">
        <v>221</v>
      </c>
      <c r="B321" s="250" t="s">
        <v>485</v>
      </c>
      <c r="C321" s="251" t="s">
        <v>222</v>
      </c>
      <c r="D321" s="51">
        <v>909.2</v>
      </c>
      <c r="E321" s="51">
        <v>936.2</v>
      </c>
      <c r="F321" s="51">
        <f>D321-E321</f>
        <v>-27</v>
      </c>
    </row>
    <row r="322" spans="1:6" s="32" customFormat="1" ht="16.5" customHeight="1">
      <c r="A322" s="284" t="s">
        <v>379</v>
      </c>
      <c r="B322" s="250" t="s">
        <v>486</v>
      </c>
      <c r="C322" s="251"/>
      <c r="D322" s="51">
        <f aca="true" t="shared" si="62" ref="D322:F323">D323</f>
        <v>5063.8</v>
      </c>
      <c r="E322" s="51">
        <f t="shared" si="62"/>
        <v>5063.8</v>
      </c>
      <c r="F322" s="51">
        <f t="shared" si="62"/>
        <v>0</v>
      </c>
    </row>
    <row r="323" spans="1:6" s="20" customFormat="1" ht="24" customHeight="1">
      <c r="A323" s="284" t="s">
        <v>220</v>
      </c>
      <c r="B323" s="250" t="s">
        <v>486</v>
      </c>
      <c r="C323" s="251" t="s">
        <v>206</v>
      </c>
      <c r="D323" s="51">
        <f t="shared" si="62"/>
        <v>5063.8</v>
      </c>
      <c r="E323" s="51">
        <f t="shared" si="62"/>
        <v>5063.8</v>
      </c>
      <c r="F323" s="51">
        <f t="shared" si="62"/>
        <v>0</v>
      </c>
    </row>
    <row r="324" spans="1:6" s="60" customFormat="1" ht="12.75" customHeight="1">
      <c r="A324" s="284" t="s">
        <v>221</v>
      </c>
      <c r="B324" s="250" t="s">
        <v>486</v>
      </c>
      <c r="C324" s="251" t="s">
        <v>222</v>
      </c>
      <c r="D324" s="51">
        <v>5063.8</v>
      </c>
      <c r="E324" s="51">
        <v>5063.8</v>
      </c>
      <c r="F324" s="51">
        <f>D324-E324</f>
        <v>0</v>
      </c>
    </row>
    <row r="325" spans="1:6" s="60" customFormat="1" ht="24">
      <c r="A325" s="293" t="s">
        <v>573</v>
      </c>
      <c r="B325" s="250" t="s">
        <v>572</v>
      </c>
      <c r="C325" s="251"/>
      <c r="D325" s="51">
        <f aca="true" t="shared" si="63" ref="D325:F326">D326</f>
        <v>259</v>
      </c>
      <c r="E325" s="51">
        <f t="shared" si="63"/>
        <v>259</v>
      </c>
      <c r="F325" s="51">
        <f t="shared" si="63"/>
        <v>0</v>
      </c>
    </row>
    <row r="326" spans="1:6" s="60" customFormat="1" ht="24" customHeight="1">
      <c r="A326" s="284" t="s">
        <v>220</v>
      </c>
      <c r="B326" s="250" t="s">
        <v>572</v>
      </c>
      <c r="C326" s="251" t="s">
        <v>206</v>
      </c>
      <c r="D326" s="51">
        <f t="shared" si="63"/>
        <v>259</v>
      </c>
      <c r="E326" s="51">
        <f t="shared" si="63"/>
        <v>259</v>
      </c>
      <c r="F326" s="51">
        <f t="shared" si="63"/>
        <v>0</v>
      </c>
    </row>
    <row r="327" spans="1:6" s="60" customFormat="1" ht="12.75" customHeight="1">
      <c r="A327" s="284" t="s">
        <v>221</v>
      </c>
      <c r="B327" s="250" t="s">
        <v>572</v>
      </c>
      <c r="C327" s="251" t="s">
        <v>222</v>
      </c>
      <c r="D327" s="51">
        <v>259</v>
      </c>
      <c r="E327" s="51">
        <v>259</v>
      </c>
      <c r="F327" s="51">
        <f>D327-E327</f>
        <v>0</v>
      </c>
    </row>
    <row r="328" spans="1:6" s="60" customFormat="1" ht="24">
      <c r="A328" s="275" t="s">
        <v>345</v>
      </c>
      <c r="B328" s="248" t="s">
        <v>15</v>
      </c>
      <c r="C328" s="249"/>
      <c r="D328" s="50">
        <f>D329+D336</f>
        <v>355</v>
      </c>
      <c r="E328" s="50">
        <f>E329+E336</f>
        <v>355</v>
      </c>
      <c r="F328" s="50">
        <f>F329+F336</f>
        <v>0</v>
      </c>
    </row>
    <row r="329" spans="1:6" s="60" customFormat="1" ht="12.75">
      <c r="A329" s="253" t="s">
        <v>110</v>
      </c>
      <c r="B329" s="250" t="s">
        <v>16</v>
      </c>
      <c r="C329" s="294"/>
      <c r="D329" s="51">
        <f>D330+D332+D334</f>
        <v>320</v>
      </c>
      <c r="E329" s="51">
        <f>E330+E332+E334</f>
        <v>320</v>
      </c>
      <c r="F329" s="51">
        <f>F330+F332+F334</f>
        <v>0</v>
      </c>
    </row>
    <row r="330" spans="1:6" s="60" customFormat="1" ht="12.75" customHeight="1">
      <c r="A330" s="252" t="s">
        <v>264</v>
      </c>
      <c r="B330" s="250" t="s">
        <v>16</v>
      </c>
      <c r="C330" s="294" t="s">
        <v>216</v>
      </c>
      <c r="D330" s="51">
        <f>D331</f>
        <v>110</v>
      </c>
      <c r="E330" s="51">
        <f>E331</f>
        <v>110</v>
      </c>
      <c r="F330" s="51">
        <f>F331</f>
        <v>0</v>
      </c>
    </row>
    <row r="331" spans="1:6" s="60" customFormat="1" ht="15" customHeight="1">
      <c r="A331" s="252" t="s">
        <v>217</v>
      </c>
      <c r="B331" s="250" t="s">
        <v>16</v>
      </c>
      <c r="C331" s="294" t="s">
        <v>215</v>
      </c>
      <c r="D331" s="51">
        <v>110</v>
      </c>
      <c r="E331" s="51">
        <v>110</v>
      </c>
      <c r="F331" s="51">
        <f>D331-E331</f>
        <v>0</v>
      </c>
    </row>
    <row r="332" spans="1:6" s="60" customFormat="1" ht="24" customHeight="1">
      <c r="A332" s="170" t="s">
        <v>220</v>
      </c>
      <c r="B332" s="250" t="s">
        <v>16</v>
      </c>
      <c r="C332" s="294" t="s">
        <v>206</v>
      </c>
      <c r="D332" s="51">
        <f>D333</f>
        <v>10</v>
      </c>
      <c r="E332" s="51">
        <f>E333</f>
        <v>10</v>
      </c>
      <c r="F332" s="51">
        <f>F333</f>
        <v>0</v>
      </c>
    </row>
    <row r="333" spans="1:6" s="60" customFormat="1" ht="12.75" customHeight="1">
      <c r="A333" s="170" t="s">
        <v>221</v>
      </c>
      <c r="B333" s="250" t="s">
        <v>16</v>
      </c>
      <c r="C333" s="294" t="s">
        <v>222</v>
      </c>
      <c r="D333" s="51">
        <v>10</v>
      </c>
      <c r="E333" s="51">
        <v>10</v>
      </c>
      <c r="F333" s="51">
        <f>D333-E333</f>
        <v>0</v>
      </c>
    </row>
    <row r="334" spans="1:6" s="20" customFormat="1" ht="12.75" customHeight="1">
      <c r="A334" s="253" t="s">
        <v>107</v>
      </c>
      <c r="B334" s="250" t="s">
        <v>16</v>
      </c>
      <c r="C334" s="294" t="s">
        <v>100</v>
      </c>
      <c r="D334" s="51">
        <f>D335</f>
        <v>200</v>
      </c>
      <c r="E334" s="51">
        <f>E335</f>
        <v>200</v>
      </c>
      <c r="F334" s="51">
        <f>F335</f>
        <v>0</v>
      </c>
    </row>
    <row r="335" spans="1:6" s="20" customFormat="1" ht="24" customHeight="1">
      <c r="A335" s="253" t="s">
        <v>266</v>
      </c>
      <c r="B335" s="250" t="s">
        <v>16</v>
      </c>
      <c r="C335" s="294" t="s">
        <v>101</v>
      </c>
      <c r="D335" s="51">
        <v>200</v>
      </c>
      <c r="E335" s="51">
        <v>200</v>
      </c>
      <c r="F335" s="51">
        <f>D335-E335</f>
        <v>0</v>
      </c>
    </row>
    <row r="336" spans="1:6" s="20" customFormat="1" ht="13.5" customHeight="1">
      <c r="A336" s="253" t="s">
        <v>145</v>
      </c>
      <c r="B336" s="250" t="s">
        <v>339</v>
      </c>
      <c r="C336" s="251"/>
      <c r="D336" s="51">
        <f aca="true" t="shared" si="64" ref="D336:F337">D337</f>
        <v>35</v>
      </c>
      <c r="E336" s="51">
        <f t="shared" si="64"/>
        <v>35</v>
      </c>
      <c r="F336" s="51">
        <f t="shared" si="64"/>
        <v>0</v>
      </c>
    </row>
    <row r="337" spans="1:6" s="20" customFormat="1" ht="17.25" customHeight="1">
      <c r="A337" s="252" t="s">
        <v>264</v>
      </c>
      <c r="B337" s="250" t="s">
        <v>339</v>
      </c>
      <c r="C337" s="332" t="s">
        <v>216</v>
      </c>
      <c r="D337" s="51">
        <f t="shared" si="64"/>
        <v>35</v>
      </c>
      <c r="E337" s="51">
        <f t="shared" si="64"/>
        <v>35</v>
      </c>
      <c r="F337" s="51">
        <f t="shared" si="64"/>
        <v>0</v>
      </c>
    </row>
    <row r="338" spans="1:6" s="20" customFormat="1" ht="17.25" customHeight="1">
      <c r="A338" s="252" t="s">
        <v>217</v>
      </c>
      <c r="B338" s="250" t="s">
        <v>339</v>
      </c>
      <c r="C338" s="332" t="s">
        <v>215</v>
      </c>
      <c r="D338" s="51">
        <v>35</v>
      </c>
      <c r="E338" s="51">
        <v>35</v>
      </c>
      <c r="F338" s="51">
        <f>D338-E338</f>
        <v>0</v>
      </c>
    </row>
    <row r="339" spans="1:6" s="20" customFormat="1" ht="24">
      <c r="A339" s="295" t="s">
        <v>387</v>
      </c>
      <c r="B339" s="248" t="s">
        <v>86</v>
      </c>
      <c r="C339" s="249"/>
      <c r="D339" s="50">
        <f>D340+D399+D417</f>
        <v>160582.9</v>
      </c>
      <c r="E339" s="50">
        <f>E340+E399+E417</f>
        <v>159574.40000000002</v>
      </c>
      <c r="F339" s="50">
        <f>F340+F399+F417</f>
        <v>1008.4999999999947</v>
      </c>
    </row>
    <row r="340" spans="1:6" s="20" customFormat="1" ht="24">
      <c r="A340" s="296" t="s">
        <v>388</v>
      </c>
      <c r="B340" s="271" t="s">
        <v>87</v>
      </c>
      <c r="C340" s="251"/>
      <c r="D340" s="50">
        <f>D341+D344+D347+D350+D353+D356+D359+D362+D365+D368+D374+D381+D384+D387+D390+D371+D393+D396</f>
        <v>118296.9</v>
      </c>
      <c r="E340" s="50">
        <f>E341+E344+E347+E350+E353+E356+E359+E362+E365+E368+E374+E381+E384+E387+E390+E371+E393+E396</f>
        <v>118017.20000000001</v>
      </c>
      <c r="F340" s="50">
        <f>F341+F344+F347+F350+F353+F356+F359+F362+F365+F368+F374+F381+F384+F387+F390+F371+F393+F396</f>
        <v>279.6999999999916</v>
      </c>
    </row>
    <row r="341" spans="1:6" s="20" customFormat="1" ht="12.75">
      <c r="A341" s="297" t="s">
        <v>358</v>
      </c>
      <c r="B341" s="250" t="s">
        <v>260</v>
      </c>
      <c r="C341" s="251"/>
      <c r="D341" s="51">
        <f aca="true" t="shared" si="65" ref="D341:F342">D342</f>
        <v>22392.3</v>
      </c>
      <c r="E341" s="51">
        <f t="shared" si="65"/>
        <v>22463.9</v>
      </c>
      <c r="F341" s="51">
        <f t="shared" si="65"/>
        <v>-71.60000000000218</v>
      </c>
    </row>
    <row r="342" spans="1:6" s="20" customFormat="1" ht="24" customHeight="1">
      <c r="A342" s="169" t="s">
        <v>220</v>
      </c>
      <c r="B342" s="250" t="s">
        <v>260</v>
      </c>
      <c r="C342" s="251" t="s">
        <v>206</v>
      </c>
      <c r="D342" s="321">
        <f t="shared" si="65"/>
        <v>22392.3</v>
      </c>
      <c r="E342" s="321">
        <f t="shared" si="65"/>
        <v>22463.9</v>
      </c>
      <c r="F342" s="321">
        <f t="shared" si="65"/>
        <v>-71.60000000000218</v>
      </c>
    </row>
    <row r="343" spans="1:6" s="20" customFormat="1" ht="12.75" customHeight="1">
      <c r="A343" s="170" t="s">
        <v>221</v>
      </c>
      <c r="B343" s="250" t="s">
        <v>260</v>
      </c>
      <c r="C343" s="251" t="s">
        <v>222</v>
      </c>
      <c r="D343" s="321">
        <v>22392.3</v>
      </c>
      <c r="E343" s="321">
        <f>6408.7+10667.7+3217.7+2169.8</f>
        <v>22463.9</v>
      </c>
      <c r="F343" s="51">
        <f>D343-E343</f>
        <v>-71.60000000000218</v>
      </c>
    </row>
    <row r="344" spans="1:6" s="20" customFormat="1" ht="12.75">
      <c r="A344" s="273" t="s">
        <v>253</v>
      </c>
      <c r="B344" s="250" t="s">
        <v>359</v>
      </c>
      <c r="C344" s="251"/>
      <c r="D344" s="51">
        <f aca="true" t="shared" si="66" ref="D344:F345">D345</f>
        <v>14.7</v>
      </c>
      <c r="E344" s="51">
        <f t="shared" si="66"/>
        <v>15</v>
      </c>
      <c r="F344" s="51">
        <f t="shared" si="66"/>
        <v>-0.3000000000000007</v>
      </c>
    </row>
    <row r="345" spans="1:6" s="20" customFormat="1" ht="24" customHeight="1">
      <c r="A345" s="169" t="s">
        <v>220</v>
      </c>
      <c r="B345" s="250" t="s">
        <v>359</v>
      </c>
      <c r="C345" s="251" t="s">
        <v>206</v>
      </c>
      <c r="D345" s="321">
        <f t="shared" si="66"/>
        <v>14.7</v>
      </c>
      <c r="E345" s="321">
        <f t="shared" si="66"/>
        <v>15</v>
      </c>
      <c r="F345" s="321">
        <f t="shared" si="66"/>
        <v>-0.3000000000000007</v>
      </c>
    </row>
    <row r="346" spans="1:6" s="20" customFormat="1" ht="12.75" customHeight="1">
      <c r="A346" s="170" t="s">
        <v>221</v>
      </c>
      <c r="B346" s="250" t="s">
        <v>359</v>
      </c>
      <c r="C346" s="251" t="s">
        <v>222</v>
      </c>
      <c r="D346" s="321">
        <v>14.7</v>
      </c>
      <c r="E346" s="321">
        <f>12.2+2.8</f>
        <v>15</v>
      </c>
      <c r="F346" s="51">
        <f>D346-E346</f>
        <v>-0.3000000000000007</v>
      </c>
    </row>
    <row r="347" spans="1:6" s="20" customFormat="1" ht="12.75">
      <c r="A347" s="273" t="s">
        <v>328</v>
      </c>
      <c r="B347" s="250" t="s">
        <v>360</v>
      </c>
      <c r="C347" s="251"/>
      <c r="D347" s="51">
        <f aca="true" t="shared" si="67" ref="D347:F348">D348</f>
        <v>159.9</v>
      </c>
      <c r="E347" s="51">
        <f t="shared" si="67"/>
        <v>159.9</v>
      </c>
      <c r="F347" s="51">
        <f t="shared" si="67"/>
        <v>0</v>
      </c>
    </row>
    <row r="348" spans="1:6" s="20" customFormat="1" ht="24" customHeight="1">
      <c r="A348" s="169" t="s">
        <v>220</v>
      </c>
      <c r="B348" s="250" t="s">
        <v>360</v>
      </c>
      <c r="C348" s="251" t="s">
        <v>206</v>
      </c>
      <c r="D348" s="321">
        <f t="shared" si="67"/>
        <v>159.9</v>
      </c>
      <c r="E348" s="321">
        <f t="shared" si="67"/>
        <v>159.9</v>
      </c>
      <c r="F348" s="321">
        <f t="shared" si="67"/>
        <v>0</v>
      </c>
    </row>
    <row r="349" spans="1:6" s="20" customFormat="1" ht="12.75" customHeight="1">
      <c r="A349" s="170" t="s">
        <v>221</v>
      </c>
      <c r="B349" s="250" t="s">
        <v>360</v>
      </c>
      <c r="C349" s="251" t="s">
        <v>222</v>
      </c>
      <c r="D349" s="321">
        <f>74.5+54.1+16+15.3</f>
        <v>159.9</v>
      </c>
      <c r="E349" s="321">
        <f>74.5+54.1+16+15.3</f>
        <v>159.9</v>
      </c>
      <c r="F349" s="51">
        <f>D349-E349</f>
        <v>0</v>
      </c>
    </row>
    <row r="350" spans="1:6" s="20" customFormat="1" ht="24">
      <c r="A350" s="170" t="s">
        <v>564</v>
      </c>
      <c r="B350" s="250" t="s">
        <v>563</v>
      </c>
      <c r="C350" s="251"/>
      <c r="D350" s="321">
        <f aca="true" t="shared" si="68" ref="D350:F351">D351</f>
        <v>125</v>
      </c>
      <c r="E350" s="321">
        <f t="shared" si="68"/>
        <v>125</v>
      </c>
      <c r="F350" s="321">
        <f t="shared" si="68"/>
        <v>0</v>
      </c>
    </row>
    <row r="351" spans="1:6" s="20" customFormat="1" ht="24" customHeight="1">
      <c r="A351" s="169" t="s">
        <v>220</v>
      </c>
      <c r="B351" s="250" t="s">
        <v>563</v>
      </c>
      <c r="C351" s="251" t="s">
        <v>206</v>
      </c>
      <c r="D351" s="321">
        <f t="shared" si="68"/>
        <v>125</v>
      </c>
      <c r="E351" s="321">
        <f t="shared" si="68"/>
        <v>125</v>
      </c>
      <c r="F351" s="321">
        <f t="shared" si="68"/>
        <v>0</v>
      </c>
    </row>
    <row r="352" spans="1:6" s="20" customFormat="1" ht="12.75" customHeight="1">
      <c r="A352" s="170" t="s">
        <v>221</v>
      </c>
      <c r="B352" s="250" t="s">
        <v>563</v>
      </c>
      <c r="C352" s="251" t="s">
        <v>222</v>
      </c>
      <c r="D352" s="321">
        <f>25+100</f>
        <v>125</v>
      </c>
      <c r="E352" s="321">
        <f>25+100</f>
        <v>125</v>
      </c>
      <c r="F352" s="51">
        <f>D352-E352</f>
        <v>0</v>
      </c>
    </row>
    <row r="353" spans="1:6" s="20" customFormat="1" ht="24">
      <c r="A353" s="170" t="s">
        <v>562</v>
      </c>
      <c r="B353" s="250" t="s">
        <v>561</v>
      </c>
      <c r="C353" s="251"/>
      <c r="D353" s="321">
        <f aca="true" t="shared" si="69" ref="D353:F354">D354</f>
        <v>40</v>
      </c>
      <c r="E353" s="321">
        <f t="shared" si="69"/>
        <v>40</v>
      </c>
      <c r="F353" s="321">
        <f t="shared" si="69"/>
        <v>0</v>
      </c>
    </row>
    <row r="354" spans="1:6" s="20" customFormat="1" ht="24" customHeight="1">
      <c r="A354" s="169" t="s">
        <v>220</v>
      </c>
      <c r="B354" s="250" t="s">
        <v>561</v>
      </c>
      <c r="C354" s="251" t="s">
        <v>206</v>
      </c>
      <c r="D354" s="321">
        <f t="shared" si="69"/>
        <v>40</v>
      </c>
      <c r="E354" s="321">
        <f t="shared" si="69"/>
        <v>40</v>
      </c>
      <c r="F354" s="321">
        <f t="shared" si="69"/>
        <v>0</v>
      </c>
    </row>
    <row r="355" spans="1:6" s="20" customFormat="1" ht="12.75" customHeight="1">
      <c r="A355" s="170" t="s">
        <v>221</v>
      </c>
      <c r="B355" s="250" t="s">
        <v>561</v>
      </c>
      <c r="C355" s="251" t="s">
        <v>222</v>
      </c>
      <c r="D355" s="321">
        <f>20+20</f>
        <v>40</v>
      </c>
      <c r="E355" s="321">
        <f>20+20</f>
        <v>40</v>
      </c>
      <c r="F355" s="51">
        <f>D355-E355</f>
        <v>0</v>
      </c>
    </row>
    <row r="356" spans="1:6" s="20" customFormat="1" ht="12.75">
      <c r="A356" s="170" t="s">
        <v>368</v>
      </c>
      <c r="B356" s="250" t="s">
        <v>559</v>
      </c>
      <c r="C356" s="251"/>
      <c r="D356" s="321">
        <f aca="true" t="shared" si="70" ref="D356:F357">D357</f>
        <v>50</v>
      </c>
      <c r="E356" s="321">
        <f t="shared" si="70"/>
        <v>50</v>
      </c>
      <c r="F356" s="321">
        <f t="shared" si="70"/>
        <v>0</v>
      </c>
    </row>
    <row r="357" spans="1:6" s="20" customFormat="1" ht="24" customHeight="1">
      <c r="A357" s="169" t="s">
        <v>220</v>
      </c>
      <c r="B357" s="250" t="s">
        <v>559</v>
      </c>
      <c r="C357" s="251" t="s">
        <v>206</v>
      </c>
      <c r="D357" s="321">
        <f t="shared" si="70"/>
        <v>50</v>
      </c>
      <c r="E357" s="321">
        <f t="shared" si="70"/>
        <v>50</v>
      </c>
      <c r="F357" s="321">
        <f t="shared" si="70"/>
        <v>0</v>
      </c>
    </row>
    <row r="358" spans="1:6" s="20" customFormat="1" ht="12.75" customHeight="1">
      <c r="A358" s="170" t="s">
        <v>221</v>
      </c>
      <c r="B358" s="250" t="s">
        <v>559</v>
      </c>
      <c r="C358" s="251" t="s">
        <v>222</v>
      </c>
      <c r="D358" s="321">
        <f>150-100</f>
        <v>50</v>
      </c>
      <c r="E358" s="321">
        <f>150-100</f>
        <v>50</v>
      </c>
      <c r="F358" s="51">
        <f>D358-E358</f>
        <v>0</v>
      </c>
    </row>
    <row r="359" spans="1:6" s="20" customFormat="1" ht="12.75">
      <c r="A359" s="291" t="s">
        <v>361</v>
      </c>
      <c r="B359" s="250" t="s">
        <v>362</v>
      </c>
      <c r="C359" s="251"/>
      <c r="D359" s="321">
        <f aca="true" t="shared" si="71" ref="D359:F360">D360</f>
        <v>127</v>
      </c>
      <c r="E359" s="321">
        <f t="shared" si="71"/>
        <v>127</v>
      </c>
      <c r="F359" s="321">
        <f t="shared" si="71"/>
        <v>0</v>
      </c>
    </row>
    <row r="360" spans="1:6" s="20" customFormat="1" ht="24" customHeight="1">
      <c r="A360" s="169" t="s">
        <v>220</v>
      </c>
      <c r="B360" s="250" t="s">
        <v>362</v>
      </c>
      <c r="C360" s="251" t="s">
        <v>206</v>
      </c>
      <c r="D360" s="321">
        <f t="shared" si="71"/>
        <v>127</v>
      </c>
      <c r="E360" s="321">
        <f t="shared" si="71"/>
        <v>127</v>
      </c>
      <c r="F360" s="321">
        <f t="shared" si="71"/>
        <v>0</v>
      </c>
    </row>
    <row r="361" spans="1:6" s="20" customFormat="1" ht="12.75" customHeight="1">
      <c r="A361" s="170" t="s">
        <v>221</v>
      </c>
      <c r="B361" s="250" t="s">
        <v>362</v>
      </c>
      <c r="C361" s="251" t="s">
        <v>222</v>
      </c>
      <c r="D361" s="321">
        <f>40.8+29.2+57</f>
        <v>127</v>
      </c>
      <c r="E361" s="321">
        <f>40.8+29.2+57</f>
        <v>127</v>
      </c>
      <c r="F361" s="51">
        <f>D361-E361</f>
        <v>0</v>
      </c>
    </row>
    <row r="362" spans="1:6" s="20" customFormat="1" ht="12.75">
      <c r="A362" s="170" t="s">
        <v>325</v>
      </c>
      <c r="B362" s="250" t="s">
        <v>363</v>
      </c>
      <c r="C362" s="251"/>
      <c r="D362" s="321">
        <f aca="true" t="shared" si="72" ref="D362:F363">D363</f>
        <v>808.8</v>
      </c>
      <c r="E362" s="321">
        <f t="shared" si="72"/>
        <v>808.8</v>
      </c>
      <c r="F362" s="321">
        <f t="shared" si="72"/>
        <v>0</v>
      </c>
    </row>
    <row r="363" spans="1:6" s="20" customFormat="1" ht="24" customHeight="1">
      <c r="A363" s="169" t="s">
        <v>220</v>
      </c>
      <c r="B363" s="250" t="s">
        <v>363</v>
      </c>
      <c r="C363" s="251" t="s">
        <v>206</v>
      </c>
      <c r="D363" s="321">
        <f t="shared" si="72"/>
        <v>808.8</v>
      </c>
      <c r="E363" s="321">
        <f t="shared" si="72"/>
        <v>808.8</v>
      </c>
      <c r="F363" s="321">
        <f t="shared" si="72"/>
        <v>0</v>
      </c>
    </row>
    <row r="364" spans="1:6" s="20" customFormat="1" ht="12.75" customHeight="1">
      <c r="A364" s="170" t="s">
        <v>221</v>
      </c>
      <c r="B364" s="250" t="s">
        <v>363</v>
      </c>
      <c r="C364" s="251" t="s">
        <v>222</v>
      </c>
      <c r="D364" s="321">
        <f>34.5+635.3+88+51</f>
        <v>808.8</v>
      </c>
      <c r="E364" s="321">
        <f>34.5+635.3+88+51</f>
        <v>808.8</v>
      </c>
      <c r="F364" s="51">
        <f>D364-E364</f>
        <v>0</v>
      </c>
    </row>
    <row r="365" spans="1:6" s="20" customFormat="1" ht="12.75">
      <c r="A365" s="170" t="s">
        <v>430</v>
      </c>
      <c r="B365" s="250" t="s">
        <v>560</v>
      </c>
      <c r="C365" s="251"/>
      <c r="D365" s="321">
        <f aca="true" t="shared" si="73" ref="D365:F366">D366</f>
        <v>308</v>
      </c>
      <c r="E365" s="321">
        <f t="shared" si="73"/>
        <v>308</v>
      </c>
      <c r="F365" s="321">
        <f t="shared" si="73"/>
        <v>0</v>
      </c>
    </row>
    <row r="366" spans="1:6" s="20" customFormat="1" ht="24" customHeight="1">
      <c r="A366" s="169" t="s">
        <v>220</v>
      </c>
      <c r="B366" s="250" t="s">
        <v>560</v>
      </c>
      <c r="C366" s="251" t="s">
        <v>206</v>
      </c>
      <c r="D366" s="321">
        <f t="shared" si="73"/>
        <v>308</v>
      </c>
      <c r="E366" s="321">
        <f t="shared" si="73"/>
        <v>308</v>
      </c>
      <c r="F366" s="321">
        <f t="shared" si="73"/>
        <v>0</v>
      </c>
    </row>
    <row r="367" spans="1:6" s="20" customFormat="1" ht="12.75" customHeight="1">
      <c r="A367" s="170" t="s">
        <v>221</v>
      </c>
      <c r="B367" s="250" t="s">
        <v>560</v>
      </c>
      <c r="C367" s="251" t="s">
        <v>222</v>
      </c>
      <c r="D367" s="321">
        <f>192+116</f>
        <v>308</v>
      </c>
      <c r="E367" s="321">
        <f>192+116</f>
        <v>308</v>
      </c>
      <c r="F367" s="51">
        <f>D367-E367</f>
        <v>0</v>
      </c>
    </row>
    <row r="368" spans="1:6" s="20" customFormat="1" ht="12.75">
      <c r="A368" s="170" t="s">
        <v>364</v>
      </c>
      <c r="B368" s="250" t="s">
        <v>365</v>
      </c>
      <c r="C368" s="251"/>
      <c r="D368" s="321">
        <f aca="true" t="shared" si="74" ref="D368:F372">D369</f>
        <v>20</v>
      </c>
      <c r="E368" s="321">
        <f t="shared" si="74"/>
        <v>20</v>
      </c>
      <c r="F368" s="321">
        <f t="shared" si="74"/>
        <v>0</v>
      </c>
    </row>
    <row r="369" spans="1:6" s="20" customFormat="1" ht="24" customHeight="1">
      <c r="A369" s="169" t="s">
        <v>220</v>
      </c>
      <c r="B369" s="250" t="s">
        <v>365</v>
      </c>
      <c r="C369" s="251" t="s">
        <v>206</v>
      </c>
      <c r="D369" s="321">
        <f t="shared" si="74"/>
        <v>20</v>
      </c>
      <c r="E369" s="321">
        <f t="shared" si="74"/>
        <v>20</v>
      </c>
      <c r="F369" s="321">
        <f t="shared" si="74"/>
        <v>0</v>
      </c>
    </row>
    <row r="370" spans="1:6" s="20" customFormat="1" ht="12.75" customHeight="1">
      <c r="A370" s="170" t="s">
        <v>221</v>
      </c>
      <c r="B370" s="250" t="s">
        <v>365</v>
      </c>
      <c r="C370" s="251" t="s">
        <v>222</v>
      </c>
      <c r="D370" s="321">
        <v>20</v>
      </c>
      <c r="E370" s="321">
        <v>20</v>
      </c>
      <c r="F370" s="51">
        <f>D370-E370</f>
        <v>0</v>
      </c>
    </row>
    <row r="371" spans="1:6" s="20" customFormat="1" ht="12.75">
      <c r="A371" s="253" t="s">
        <v>617</v>
      </c>
      <c r="B371" s="250" t="s">
        <v>622</v>
      </c>
      <c r="C371" s="251"/>
      <c r="D371" s="321">
        <f t="shared" si="74"/>
        <v>1800</v>
      </c>
      <c r="E371" s="321">
        <f t="shared" si="74"/>
        <v>1800</v>
      </c>
      <c r="F371" s="321">
        <f t="shared" si="74"/>
        <v>0</v>
      </c>
    </row>
    <row r="372" spans="1:6" s="20" customFormat="1" ht="15" customHeight="1">
      <c r="A372" s="169" t="s">
        <v>220</v>
      </c>
      <c r="B372" s="250" t="s">
        <v>622</v>
      </c>
      <c r="C372" s="251" t="s">
        <v>206</v>
      </c>
      <c r="D372" s="321">
        <f t="shared" si="74"/>
        <v>1800</v>
      </c>
      <c r="E372" s="321">
        <f t="shared" si="74"/>
        <v>1800</v>
      </c>
      <c r="F372" s="321">
        <f t="shared" si="74"/>
        <v>0</v>
      </c>
    </row>
    <row r="373" spans="1:6" s="20" customFormat="1" ht="12.75" customHeight="1">
      <c r="A373" s="170" t="s">
        <v>221</v>
      </c>
      <c r="B373" s="250" t="s">
        <v>622</v>
      </c>
      <c r="C373" s="251" t="s">
        <v>222</v>
      </c>
      <c r="D373" s="321">
        <v>1800</v>
      </c>
      <c r="E373" s="321">
        <v>1800</v>
      </c>
      <c r="F373" s="51">
        <f>D373-E373</f>
        <v>0</v>
      </c>
    </row>
    <row r="374" spans="1:6" s="20" customFormat="1" ht="12.75">
      <c r="A374" s="273" t="s">
        <v>249</v>
      </c>
      <c r="B374" s="250" t="s">
        <v>250</v>
      </c>
      <c r="C374" s="251"/>
      <c r="D374" s="51">
        <f>D375+D378</f>
        <v>73442.7</v>
      </c>
      <c r="E374" s="51">
        <f>E375+E378</f>
        <v>73444</v>
      </c>
      <c r="F374" s="51">
        <f>F375+F378</f>
        <v>-1.3000000000065484</v>
      </c>
    </row>
    <row r="375" spans="1:6" s="20" customFormat="1" ht="12.75">
      <c r="A375" s="273" t="s">
        <v>262</v>
      </c>
      <c r="B375" s="250" t="s">
        <v>251</v>
      </c>
      <c r="C375" s="251"/>
      <c r="D375" s="51">
        <f aca="true" t="shared" si="75" ref="D375:F376">D376</f>
        <v>52368.9</v>
      </c>
      <c r="E375" s="51">
        <f t="shared" si="75"/>
        <v>52495.700000000004</v>
      </c>
      <c r="F375" s="51">
        <f t="shared" si="75"/>
        <v>-126.80000000000291</v>
      </c>
    </row>
    <row r="376" spans="1:6" s="20" customFormat="1" ht="24" customHeight="1">
      <c r="A376" s="169" t="s">
        <v>220</v>
      </c>
      <c r="B376" s="250" t="s">
        <v>251</v>
      </c>
      <c r="C376" s="251" t="s">
        <v>206</v>
      </c>
      <c r="D376" s="51">
        <f t="shared" si="75"/>
        <v>52368.9</v>
      </c>
      <c r="E376" s="51">
        <f t="shared" si="75"/>
        <v>52495.700000000004</v>
      </c>
      <c r="F376" s="51">
        <f t="shared" si="75"/>
        <v>-126.80000000000291</v>
      </c>
    </row>
    <row r="377" spans="1:6" s="20" customFormat="1" ht="12.75" customHeight="1">
      <c r="A377" s="170" t="s">
        <v>221</v>
      </c>
      <c r="B377" s="250" t="s">
        <v>251</v>
      </c>
      <c r="C377" s="251" t="s">
        <v>222</v>
      </c>
      <c r="D377" s="51">
        <v>52368.9</v>
      </c>
      <c r="E377" s="51">
        <f>49888.5+250+50.3+2006.9+300</f>
        <v>52495.700000000004</v>
      </c>
      <c r="F377" s="51">
        <f>D377-E377</f>
        <v>-126.80000000000291</v>
      </c>
    </row>
    <row r="378" spans="1:6" s="20" customFormat="1" ht="24">
      <c r="A378" s="170" t="s">
        <v>366</v>
      </c>
      <c r="B378" s="250" t="s">
        <v>252</v>
      </c>
      <c r="C378" s="251"/>
      <c r="D378" s="51">
        <f aca="true" t="shared" si="76" ref="D378:F379">D379</f>
        <v>21073.8</v>
      </c>
      <c r="E378" s="51">
        <f t="shared" si="76"/>
        <v>20948.300000000003</v>
      </c>
      <c r="F378" s="51">
        <f t="shared" si="76"/>
        <v>125.49999999999636</v>
      </c>
    </row>
    <row r="379" spans="1:6" s="20" customFormat="1" ht="24" customHeight="1">
      <c r="A379" s="169" t="s">
        <v>220</v>
      </c>
      <c r="B379" s="250" t="s">
        <v>252</v>
      </c>
      <c r="C379" s="251" t="s">
        <v>206</v>
      </c>
      <c r="D379" s="51">
        <f t="shared" si="76"/>
        <v>21073.8</v>
      </c>
      <c r="E379" s="51">
        <f t="shared" si="76"/>
        <v>20948.300000000003</v>
      </c>
      <c r="F379" s="51">
        <f t="shared" si="76"/>
        <v>125.49999999999636</v>
      </c>
    </row>
    <row r="380" spans="1:6" s="20" customFormat="1" ht="12.75" customHeight="1">
      <c r="A380" s="170" t="s">
        <v>221</v>
      </c>
      <c r="B380" s="250" t="s">
        <v>252</v>
      </c>
      <c r="C380" s="251" t="s">
        <v>222</v>
      </c>
      <c r="D380" s="51">
        <v>21073.8</v>
      </c>
      <c r="E380" s="51">
        <f>19683.4+331.5+56.9+876.5</f>
        <v>20948.300000000003</v>
      </c>
      <c r="F380" s="51">
        <f>D380-E380</f>
        <v>125.49999999999636</v>
      </c>
    </row>
    <row r="381" spans="1:6" s="20" customFormat="1" ht="24">
      <c r="A381" s="263" t="s">
        <v>367</v>
      </c>
      <c r="B381" s="250" t="s">
        <v>316</v>
      </c>
      <c r="C381" s="298"/>
      <c r="D381" s="51">
        <f aca="true" t="shared" si="77" ref="D381:F382">D382</f>
        <v>1350</v>
      </c>
      <c r="E381" s="51">
        <f t="shared" si="77"/>
        <v>1350</v>
      </c>
      <c r="F381" s="51">
        <f t="shared" si="77"/>
        <v>0</v>
      </c>
    </row>
    <row r="382" spans="1:6" s="20" customFormat="1" ht="24" customHeight="1">
      <c r="A382" s="169" t="s">
        <v>220</v>
      </c>
      <c r="B382" s="250" t="s">
        <v>316</v>
      </c>
      <c r="C382" s="251" t="s">
        <v>206</v>
      </c>
      <c r="D382" s="51">
        <f t="shared" si="77"/>
        <v>1350</v>
      </c>
      <c r="E382" s="51">
        <f t="shared" si="77"/>
        <v>1350</v>
      </c>
      <c r="F382" s="51">
        <f t="shared" si="77"/>
        <v>0</v>
      </c>
    </row>
    <row r="383" spans="1:6" s="20" customFormat="1" ht="12.75" customHeight="1">
      <c r="A383" s="170" t="s">
        <v>221</v>
      </c>
      <c r="B383" s="250" t="s">
        <v>316</v>
      </c>
      <c r="C383" s="251" t="s">
        <v>222</v>
      </c>
      <c r="D383" s="51">
        <f>1250+100</f>
        <v>1350</v>
      </c>
      <c r="E383" s="51">
        <f>1250+100</f>
        <v>1350</v>
      </c>
      <c r="F383" s="51">
        <f>D383-E383</f>
        <v>0</v>
      </c>
    </row>
    <row r="384" spans="1:6" s="20" customFormat="1" ht="12.75">
      <c r="A384" s="263" t="s">
        <v>538</v>
      </c>
      <c r="B384" s="250" t="s">
        <v>537</v>
      </c>
      <c r="C384" s="298"/>
      <c r="D384" s="51">
        <f aca="true" t="shared" si="78" ref="D384:F385">D385</f>
        <v>8562.6</v>
      </c>
      <c r="E384" s="51">
        <f t="shared" si="78"/>
        <v>8562.6</v>
      </c>
      <c r="F384" s="51">
        <f t="shared" si="78"/>
        <v>0</v>
      </c>
    </row>
    <row r="385" spans="1:6" s="20" customFormat="1" ht="24" customHeight="1">
      <c r="A385" s="169" t="s">
        <v>220</v>
      </c>
      <c r="B385" s="250" t="s">
        <v>537</v>
      </c>
      <c r="C385" s="251" t="s">
        <v>206</v>
      </c>
      <c r="D385" s="51">
        <f t="shared" si="78"/>
        <v>8562.6</v>
      </c>
      <c r="E385" s="51">
        <f t="shared" si="78"/>
        <v>8562.6</v>
      </c>
      <c r="F385" s="51">
        <f t="shared" si="78"/>
        <v>0</v>
      </c>
    </row>
    <row r="386" spans="1:6" s="20" customFormat="1" ht="12.75" customHeight="1">
      <c r="A386" s="291" t="s">
        <v>221</v>
      </c>
      <c r="B386" s="250" t="s">
        <v>537</v>
      </c>
      <c r="C386" s="251" t="s">
        <v>222</v>
      </c>
      <c r="D386" s="51">
        <v>8562.6</v>
      </c>
      <c r="E386" s="51">
        <v>8562.6</v>
      </c>
      <c r="F386" s="51">
        <f>D386-E386</f>
        <v>0</v>
      </c>
    </row>
    <row r="387" spans="1:6" s="20" customFormat="1" ht="24">
      <c r="A387" s="263" t="s">
        <v>541</v>
      </c>
      <c r="B387" s="250" t="s">
        <v>542</v>
      </c>
      <c r="C387" s="298"/>
      <c r="D387" s="51">
        <f aca="true" t="shared" si="79" ref="D387:F391">D388</f>
        <v>222.5</v>
      </c>
      <c r="E387" s="51">
        <f t="shared" si="79"/>
        <v>222.5</v>
      </c>
      <c r="F387" s="51">
        <f t="shared" si="79"/>
        <v>0</v>
      </c>
    </row>
    <row r="388" spans="1:6" s="20" customFormat="1" ht="24" customHeight="1">
      <c r="A388" s="169" t="s">
        <v>220</v>
      </c>
      <c r="B388" s="250" t="s">
        <v>542</v>
      </c>
      <c r="C388" s="251" t="s">
        <v>206</v>
      </c>
      <c r="D388" s="51">
        <f t="shared" si="79"/>
        <v>222.5</v>
      </c>
      <c r="E388" s="51">
        <f t="shared" si="79"/>
        <v>222.5</v>
      </c>
      <c r="F388" s="51">
        <f t="shared" si="79"/>
        <v>0</v>
      </c>
    </row>
    <row r="389" spans="1:6" s="20" customFormat="1" ht="12.75" customHeight="1">
      <c r="A389" s="170" t="s">
        <v>221</v>
      </c>
      <c r="B389" s="250" t="s">
        <v>542</v>
      </c>
      <c r="C389" s="251" t="s">
        <v>222</v>
      </c>
      <c r="D389" s="51">
        <f>206.9+15.6</f>
        <v>222.5</v>
      </c>
      <c r="E389" s="51">
        <f>206.9+15.6</f>
        <v>222.5</v>
      </c>
      <c r="F389" s="51">
        <f>D389-E389</f>
        <v>0</v>
      </c>
    </row>
    <row r="390" spans="1:6" s="20" customFormat="1" ht="24">
      <c r="A390" s="263" t="s">
        <v>604</v>
      </c>
      <c r="B390" s="250" t="s">
        <v>603</v>
      </c>
      <c r="C390" s="298"/>
      <c r="D390" s="51">
        <f>D391</f>
        <v>58.5</v>
      </c>
      <c r="E390" s="51">
        <f>E391</f>
        <v>58.5</v>
      </c>
      <c r="F390" s="51">
        <f t="shared" si="79"/>
        <v>0</v>
      </c>
    </row>
    <row r="391" spans="1:6" s="20" customFormat="1" ht="24" customHeight="1">
      <c r="A391" s="169" t="s">
        <v>220</v>
      </c>
      <c r="B391" s="250" t="s">
        <v>603</v>
      </c>
      <c r="C391" s="251" t="s">
        <v>206</v>
      </c>
      <c r="D391" s="51">
        <f>D392</f>
        <v>58.5</v>
      </c>
      <c r="E391" s="51">
        <f>E392</f>
        <v>58.5</v>
      </c>
      <c r="F391" s="51">
        <f t="shared" si="79"/>
        <v>0</v>
      </c>
    </row>
    <row r="392" spans="1:6" s="20" customFormat="1" ht="12.75" customHeight="1">
      <c r="A392" s="170" t="s">
        <v>221</v>
      </c>
      <c r="B392" s="250" t="s">
        <v>603</v>
      </c>
      <c r="C392" s="251" t="s">
        <v>222</v>
      </c>
      <c r="D392" s="51">
        <v>58.5</v>
      </c>
      <c r="E392" s="51">
        <v>58.5</v>
      </c>
      <c r="F392" s="51">
        <f>D392-E392</f>
        <v>0</v>
      </c>
    </row>
    <row r="393" spans="1:6" s="20" customFormat="1" ht="24">
      <c r="A393" s="263" t="s">
        <v>635</v>
      </c>
      <c r="B393" s="250" t="s">
        <v>636</v>
      </c>
      <c r="C393" s="298"/>
      <c r="D393" s="51">
        <f aca="true" t="shared" si="80" ref="D393:F397">D394</f>
        <v>6639.2</v>
      </c>
      <c r="E393" s="51">
        <f t="shared" si="80"/>
        <v>6578.299999999999</v>
      </c>
      <c r="F393" s="51">
        <f t="shared" si="80"/>
        <v>60.900000000000546</v>
      </c>
    </row>
    <row r="394" spans="1:6" s="20" customFormat="1" ht="24" customHeight="1">
      <c r="A394" s="169" t="s">
        <v>220</v>
      </c>
      <c r="B394" s="250" t="s">
        <v>636</v>
      </c>
      <c r="C394" s="251" t="s">
        <v>206</v>
      </c>
      <c r="D394" s="51">
        <f t="shared" si="80"/>
        <v>6639.2</v>
      </c>
      <c r="E394" s="51">
        <f t="shared" si="80"/>
        <v>6578.299999999999</v>
      </c>
      <c r="F394" s="51">
        <f t="shared" si="80"/>
        <v>60.900000000000546</v>
      </c>
    </row>
    <row r="395" spans="1:6" s="20" customFormat="1" ht="12.75" customHeight="1">
      <c r="A395" s="170" t="s">
        <v>221</v>
      </c>
      <c r="B395" s="250" t="s">
        <v>636</v>
      </c>
      <c r="C395" s="251" t="s">
        <v>222</v>
      </c>
      <c r="D395" s="51">
        <v>6639.2</v>
      </c>
      <c r="E395" s="51">
        <f>191.8+439.7+2085.2+3861.6</f>
        <v>6578.299999999999</v>
      </c>
      <c r="F395" s="51">
        <f>D395-E395</f>
        <v>60.900000000000546</v>
      </c>
    </row>
    <row r="396" spans="1:6" s="20" customFormat="1" ht="24">
      <c r="A396" s="263" t="s">
        <v>635</v>
      </c>
      <c r="B396" s="250" t="s">
        <v>637</v>
      </c>
      <c r="C396" s="298"/>
      <c r="D396" s="51">
        <f t="shared" si="80"/>
        <v>2175.7</v>
      </c>
      <c r="E396" s="51">
        <f t="shared" si="80"/>
        <v>1883.7</v>
      </c>
      <c r="F396" s="51">
        <f t="shared" si="80"/>
        <v>291.9999999999998</v>
      </c>
    </row>
    <row r="397" spans="1:6" s="20" customFormat="1" ht="24" customHeight="1">
      <c r="A397" s="169" t="s">
        <v>220</v>
      </c>
      <c r="B397" s="250" t="s">
        <v>637</v>
      </c>
      <c r="C397" s="251" t="s">
        <v>206</v>
      </c>
      <c r="D397" s="51">
        <f t="shared" si="80"/>
        <v>2175.7</v>
      </c>
      <c r="E397" s="51">
        <f t="shared" si="80"/>
        <v>1883.7</v>
      </c>
      <c r="F397" s="51">
        <f t="shared" si="80"/>
        <v>291.9999999999998</v>
      </c>
    </row>
    <row r="398" spans="1:6" s="20" customFormat="1" ht="12.75" customHeight="1">
      <c r="A398" s="170" t="s">
        <v>221</v>
      </c>
      <c r="B398" s="250" t="s">
        <v>637</v>
      </c>
      <c r="C398" s="251" t="s">
        <v>222</v>
      </c>
      <c r="D398" s="51">
        <v>2175.7</v>
      </c>
      <c r="E398" s="51">
        <f>150.3+63+844.2+826.2</f>
        <v>1883.7</v>
      </c>
      <c r="F398" s="51">
        <f>D398-E398</f>
        <v>291.9999999999998</v>
      </c>
    </row>
    <row r="399" spans="1:6" s="20" customFormat="1" ht="24">
      <c r="A399" s="278" t="s">
        <v>583</v>
      </c>
      <c r="B399" s="271" t="s">
        <v>261</v>
      </c>
      <c r="C399" s="272"/>
      <c r="D399" s="320">
        <f>D400+D411+D405+D408+D414</f>
        <v>3320.1</v>
      </c>
      <c r="E399" s="320">
        <f>E400+E411+E405+E408+E414</f>
        <v>3009.7999999999997</v>
      </c>
      <c r="F399" s="320">
        <f>F400+F411+F405+F408+F414</f>
        <v>310.3</v>
      </c>
    </row>
    <row r="400" spans="1:6" s="20" customFormat="1" ht="12.75">
      <c r="A400" s="88" t="s">
        <v>114</v>
      </c>
      <c r="B400" s="250" t="s">
        <v>258</v>
      </c>
      <c r="C400" s="251"/>
      <c r="D400" s="321">
        <f>D401+D403</f>
        <v>589</v>
      </c>
      <c r="E400" s="321">
        <f>E401+E403</f>
        <v>589</v>
      </c>
      <c r="F400" s="321">
        <f>F401+F403</f>
        <v>0</v>
      </c>
    </row>
    <row r="401" spans="1:6" s="20" customFormat="1" ht="36" customHeight="1">
      <c r="A401" s="252" t="s">
        <v>139</v>
      </c>
      <c r="B401" s="250" t="s">
        <v>258</v>
      </c>
      <c r="C401" s="251" t="s">
        <v>228</v>
      </c>
      <c r="D401" s="321">
        <f>D402</f>
        <v>25</v>
      </c>
      <c r="E401" s="321">
        <f>E402</f>
        <v>25</v>
      </c>
      <c r="F401" s="321">
        <f>F402</f>
        <v>0</v>
      </c>
    </row>
    <row r="402" spans="1:6" s="20" customFormat="1" ht="12.75" customHeight="1">
      <c r="A402" s="273" t="s">
        <v>223</v>
      </c>
      <c r="B402" s="250" t="s">
        <v>258</v>
      </c>
      <c r="C402" s="251" t="s">
        <v>224</v>
      </c>
      <c r="D402" s="321">
        <v>25</v>
      </c>
      <c r="E402" s="321">
        <v>25</v>
      </c>
      <c r="F402" s="51">
        <f>D402-E402</f>
        <v>0</v>
      </c>
    </row>
    <row r="403" spans="1:6" s="20" customFormat="1" ht="24" customHeight="1">
      <c r="A403" s="169" t="s">
        <v>220</v>
      </c>
      <c r="B403" s="250" t="s">
        <v>258</v>
      </c>
      <c r="C403" s="251" t="s">
        <v>206</v>
      </c>
      <c r="D403" s="321">
        <f>D404</f>
        <v>564</v>
      </c>
      <c r="E403" s="321">
        <f>E404</f>
        <v>564</v>
      </c>
      <c r="F403" s="321">
        <f>F404</f>
        <v>0</v>
      </c>
    </row>
    <row r="404" spans="1:6" s="20" customFormat="1" ht="12.75" customHeight="1">
      <c r="A404" s="170" t="s">
        <v>221</v>
      </c>
      <c r="B404" s="250" t="s">
        <v>258</v>
      </c>
      <c r="C404" s="251" t="s">
        <v>222</v>
      </c>
      <c r="D404" s="321">
        <f>400+100+64</f>
        <v>564</v>
      </c>
      <c r="E404" s="321">
        <f>400+100+64</f>
        <v>564</v>
      </c>
      <c r="F404" s="51">
        <f>D404-E404</f>
        <v>0</v>
      </c>
    </row>
    <row r="405" spans="1:6" s="20" customFormat="1" ht="12.75">
      <c r="A405" s="273" t="s">
        <v>320</v>
      </c>
      <c r="B405" s="250" t="s">
        <v>353</v>
      </c>
      <c r="C405" s="251"/>
      <c r="D405" s="321">
        <f aca="true" t="shared" si="81" ref="D405:F406">D406</f>
        <v>578</v>
      </c>
      <c r="E405" s="321">
        <f t="shared" si="81"/>
        <v>267.7</v>
      </c>
      <c r="F405" s="321">
        <f t="shared" si="81"/>
        <v>310.3</v>
      </c>
    </row>
    <row r="406" spans="1:6" s="20" customFormat="1" ht="24" customHeight="1">
      <c r="A406" s="169" t="s">
        <v>220</v>
      </c>
      <c r="B406" s="250" t="s">
        <v>353</v>
      </c>
      <c r="C406" s="251" t="s">
        <v>206</v>
      </c>
      <c r="D406" s="321">
        <f t="shared" si="81"/>
        <v>578</v>
      </c>
      <c r="E406" s="321">
        <f t="shared" si="81"/>
        <v>267.7</v>
      </c>
      <c r="F406" s="321">
        <f t="shared" si="81"/>
        <v>310.3</v>
      </c>
    </row>
    <row r="407" spans="1:6" s="20" customFormat="1" ht="12.75" customHeight="1">
      <c r="A407" s="170" t="s">
        <v>221</v>
      </c>
      <c r="B407" s="250" t="s">
        <v>353</v>
      </c>
      <c r="C407" s="251" t="s">
        <v>222</v>
      </c>
      <c r="D407" s="321">
        <f>458+120</f>
        <v>578</v>
      </c>
      <c r="E407" s="321">
        <v>267.7</v>
      </c>
      <c r="F407" s="51">
        <f>D407-E407</f>
        <v>310.3</v>
      </c>
    </row>
    <row r="408" spans="1:6" s="20" customFormat="1" ht="12.75">
      <c r="A408" s="273" t="s">
        <v>549</v>
      </c>
      <c r="B408" s="250" t="s">
        <v>548</v>
      </c>
      <c r="C408" s="251"/>
      <c r="D408" s="321">
        <f aca="true" t="shared" si="82" ref="D408:F409">D409</f>
        <v>0</v>
      </c>
      <c r="E408" s="321">
        <f t="shared" si="82"/>
        <v>0</v>
      </c>
      <c r="F408" s="321">
        <f t="shared" si="82"/>
        <v>0</v>
      </c>
    </row>
    <row r="409" spans="1:6" s="20" customFormat="1" ht="24" customHeight="1">
      <c r="A409" s="169" t="s">
        <v>220</v>
      </c>
      <c r="B409" s="250" t="s">
        <v>548</v>
      </c>
      <c r="C409" s="251" t="s">
        <v>206</v>
      </c>
      <c r="D409" s="321">
        <f t="shared" si="82"/>
        <v>0</v>
      </c>
      <c r="E409" s="321">
        <f t="shared" si="82"/>
        <v>0</v>
      </c>
      <c r="F409" s="321">
        <f t="shared" si="82"/>
        <v>0</v>
      </c>
    </row>
    <row r="410" spans="1:6" s="20" customFormat="1" ht="12.75" customHeight="1">
      <c r="A410" s="170" t="s">
        <v>221</v>
      </c>
      <c r="B410" s="250" t="s">
        <v>548</v>
      </c>
      <c r="C410" s="251" t="s">
        <v>222</v>
      </c>
      <c r="D410" s="321">
        <v>0</v>
      </c>
      <c r="E410" s="321">
        <v>0</v>
      </c>
      <c r="F410" s="51">
        <f>D410-E410</f>
        <v>0</v>
      </c>
    </row>
    <row r="411" spans="1:6" s="20" customFormat="1" ht="14.25" customHeight="1">
      <c r="A411" s="266" t="s">
        <v>533</v>
      </c>
      <c r="B411" s="259" t="s">
        <v>534</v>
      </c>
      <c r="C411" s="251"/>
      <c r="D411" s="321">
        <f aca="true" t="shared" si="83" ref="D411:F415">D412</f>
        <v>1653.1</v>
      </c>
      <c r="E411" s="321">
        <f t="shared" si="83"/>
        <v>1653.1</v>
      </c>
      <c r="F411" s="321">
        <f t="shared" si="83"/>
        <v>0</v>
      </c>
    </row>
    <row r="412" spans="1:6" s="36" customFormat="1" ht="24" customHeight="1">
      <c r="A412" s="261" t="s">
        <v>220</v>
      </c>
      <c r="B412" s="259" t="s">
        <v>534</v>
      </c>
      <c r="C412" s="251" t="s">
        <v>206</v>
      </c>
      <c r="D412" s="321">
        <f t="shared" si="83"/>
        <v>1653.1</v>
      </c>
      <c r="E412" s="321">
        <f t="shared" si="83"/>
        <v>1653.1</v>
      </c>
      <c r="F412" s="321">
        <f t="shared" si="83"/>
        <v>0</v>
      </c>
    </row>
    <row r="413" spans="1:6" s="36" customFormat="1" ht="12.75" customHeight="1">
      <c r="A413" s="262" t="s">
        <v>221</v>
      </c>
      <c r="B413" s="259" t="s">
        <v>534</v>
      </c>
      <c r="C413" s="251" t="s">
        <v>222</v>
      </c>
      <c r="D413" s="321">
        <v>1653.1</v>
      </c>
      <c r="E413" s="321">
        <v>1653.1</v>
      </c>
      <c r="F413" s="51">
        <f>D413-E413</f>
        <v>0</v>
      </c>
    </row>
    <row r="414" spans="1:6" s="20" customFormat="1" ht="14.25" customHeight="1">
      <c r="A414" s="266" t="s">
        <v>617</v>
      </c>
      <c r="B414" s="259" t="s">
        <v>616</v>
      </c>
      <c r="C414" s="251"/>
      <c r="D414" s="321">
        <f t="shared" si="83"/>
        <v>500</v>
      </c>
      <c r="E414" s="321">
        <f t="shared" si="83"/>
        <v>500</v>
      </c>
      <c r="F414" s="321">
        <f t="shared" si="83"/>
        <v>0</v>
      </c>
    </row>
    <row r="415" spans="1:6" s="36" customFormat="1" ht="24" customHeight="1">
      <c r="A415" s="261" t="s">
        <v>220</v>
      </c>
      <c r="B415" s="259" t="s">
        <v>616</v>
      </c>
      <c r="C415" s="251" t="s">
        <v>206</v>
      </c>
      <c r="D415" s="321">
        <f t="shared" si="83"/>
        <v>500</v>
      </c>
      <c r="E415" s="321">
        <f t="shared" si="83"/>
        <v>500</v>
      </c>
      <c r="F415" s="321">
        <f t="shared" si="83"/>
        <v>0</v>
      </c>
    </row>
    <row r="416" spans="1:6" s="36" customFormat="1" ht="12.75" customHeight="1">
      <c r="A416" s="262" t="s">
        <v>221</v>
      </c>
      <c r="B416" s="259" t="s">
        <v>616</v>
      </c>
      <c r="C416" s="251" t="s">
        <v>222</v>
      </c>
      <c r="D416" s="321">
        <v>500</v>
      </c>
      <c r="E416" s="321">
        <v>500</v>
      </c>
      <c r="F416" s="51">
        <f>D416-E416</f>
        <v>0</v>
      </c>
    </row>
    <row r="417" spans="1:6" s="36" customFormat="1" ht="24">
      <c r="A417" s="270" t="s">
        <v>581</v>
      </c>
      <c r="B417" s="271" t="s">
        <v>370</v>
      </c>
      <c r="C417" s="272"/>
      <c r="D417" s="50">
        <f>D418+D421+D424+D427+D430+D433+D436+D445+D442+D439+D454+D448+D451</f>
        <v>38965.9</v>
      </c>
      <c r="E417" s="50">
        <f>E418+E421+E424+E427+E430+E433+E436+E445+E442+E439+E454+E448</f>
        <v>38547.4</v>
      </c>
      <c r="F417" s="364">
        <f>F418+F421+F424+F427+F430+F433+F436+F445+F442+F439+F454+F448+F451</f>
        <v>418.50000000000307</v>
      </c>
    </row>
    <row r="418" spans="1:6" s="36" customFormat="1" ht="12.75">
      <c r="A418" s="168" t="s">
        <v>125</v>
      </c>
      <c r="B418" s="250" t="s">
        <v>371</v>
      </c>
      <c r="C418" s="251"/>
      <c r="D418" s="51">
        <f aca="true" t="shared" si="84" ref="D418:F419">D419</f>
        <v>35328.600000000006</v>
      </c>
      <c r="E418" s="51">
        <f t="shared" si="84"/>
        <v>35412.8</v>
      </c>
      <c r="F418" s="51">
        <f t="shared" si="84"/>
        <v>-84.19999999999709</v>
      </c>
    </row>
    <row r="419" spans="1:6" s="36" customFormat="1" ht="24" customHeight="1">
      <c r="A419" s="169" t="s">
        <v>220</v>
      </c>
      <c r="B419" s="250" t="s">
        <v>371</v>
      </c>
      <c r="C419" s="251" t="s">
        <v>206</v>
      </c>
      <c r="D419" s="51">
        <f t="shared" si="84"/>
        <v>35328.600000000006</v>
      </c>
      <c r="E419" s="51">
        <f t="shared" si="84"/>
        <v>35412.8</v>
      </c>
      <c r="F419" s="51">
        <f t="shared" si="84"/>
        <v>-84.19999999999709</v>
      </c>
    </row>
    <row r="420" spans="1:6" s="32" customFormat="1" ht="12.75" customHeight="1">
      <c r="A420" s="170" t="s">
        <v>221</v>
      </c>
      <c r="B420" s="250" t="s">
        <v>371</v>
      </c>
      <c r="C420" s="251" t="s">
        <v>222</v>
      </c>
      <c r="D420" s="51">
        <f>35212.8+200-84.2</f>
        <v>35328.600000000006</v>
      </c>
      <c r="E420" s="51">
        <f>35212.8+200</f>
        <v>35412.8</v>
      </c>
      <c r="F420" s="51">
        <f>D420-E420</f>
        <v>-84.19999999999709</v>
      </c>
    </row>
    <row r="421" spans="1:6" s="32" customFormat="1" ht="12.75">
      <c r="A421" s="273" t="s">
        <v>253</v>
      </c>
      <c r="B421" s="250" t="s">
        <v>372</v>
      </c>
      <c r="C421" s="251"/>
      <c r="D421" s="51">
        <f aca="true" t="shared" si="85" ref="D421:F422">D422</f>
        <v>192.8</v>
      </c>
      <c r="E421" s="51">
        <f t="shared" si="85"/>
        <v>192.8</v>
      </c>
      <c r="F421" s="51">
        <f t="shared" si="85"/>
        <v>0</v>
      </c>
    </row>
    <row r="422" spans="1:6" s="32" customFormat="1" ht="27" customHeight="1">
      <c r="A422" s="169" t="s">
        <v>220</v>
      </c>
      <c r="B422" s="250" t="s">
        <v>372</v>
      </c>
      <c r="C422" s="251" t="s">
        <v>206</v>
      </c>
      <c r="D422" s="51">
        <f t="shared" si="85"/>
        <v>192.8</v>
      </c>
      <c r="E422" s="51">
        <f t="shared" si="85"/>
        <v>192.8</v>
      </c>
      <c r="F422" s="51">
        <f t="shared" si="85"/>
        <v>0</v>
      </c>
    </row>
    <row r="423" spans="1:6" s="32" customFormat="1" ht="18.75" customHeight="1">
      <c r="A423" s="170" t="s">
        <v>221</v>
      </c>
      <c r="B423" s="250" t="s">
        <v>372</v>
      </c>
      <c r="C423" s="251" t="s">
        <v>222</v>
      </c>
      <c r="D423" s="51">
        <v>192.8</v>
      </c>
      <c r="E423" s="51">
        <v>192.8</v>
      </c>
      <c r="F423" s="51">
        <f>D423-E423</f>
        <v>0</v>
      </c>
    </row>
    <row r="424" spans="1:6" s="34" customFormat="1" ht="12.75">
      <c r="A424" s="274" t="s">
        <v>126</v>
      </c>
      <c r="B424" s="250" t="s">
        <v>373</v>
      </c>
      <c r="C424" s="251"/>
      <c r="D424" s="51">
        <f aca="true" t="shared" si="86" ref="D424:F425">D425</f>
        <v>145.8</v>
      </c>
      <c r="E424" s="51">
        <f t="shared" si="86"/>
        <v>145.8</v>
      </c>
      <c r="F424" s="51">
        <f t="shared" si="86"/>
        <v>0</v>
      </c>
    </row>
    <row r="425" spans="1:6" s="32" customFormat="1" ht="24" customHeight="1">
      <c r="A425" s="169" t="s">
        <v>220</v>
      </c>
      <c r="B425" s="250" t="s">
        <v>373</v>
      </c>
      <c r="C425" s="251" t="s">
        <v>206</v>
      </c>
      <c r="D425" s="51">
        <f t="shared" si="86"/>
        <v>145.8</v>
      </c>
      <c r="E425" s="51">
        <f t="shared" si="86"/>
        <v>145.8</v>
      </c>
      <c r="F425" s="51">
        <f t="shared" si="86"/>
        <v>0</v>
      </c>
    </row>
    <row r="426" spans="1:6" s="44" customFormat="1" ht="12.75" customHeight="1">
      <c r="A426" s="170" t="s">
        <v>221</v>
      </c>
      <c r="B426" s="250" t="s">
        <v>373</v>
      </c>
      <c r="C426" s="251" t="s">
        <v>222</v>
      </c>
      <c r="D426" s="51">
        <v>145.8</v>
      </c>
      <c r="E426" s="51">
        <v>145.8</v>
      </c>
      <c r="F426" s="51">
        <f>D426-E426</f>
        <v>0</v>
      </c>
    </row>
    <row r="427" spans="1:6" s="44" customFormat="1" ht="12.75">
      <c r="A427" s="273" t="s">
        <v>432</v>
      </c>
      <c r="B427" s="250" t="s">
        <v>570</v>
      </c>
      <c r="C427" s="251"/>
      <c r="D427" s="51">
        <f aca="true" t="shared" si="87" ref="D427:F428">D428</f>
        <v>114.2</v>
      </c>
      <c r="E427" s="51">
        <f t="shared" si="87"/>
        <v>114.2</v>
      </c>
      <c r="F427" s="51">
        <f t="shared" si="87"/>
        <v>0</v>
      </c>
    </row>
    <row r="428" spans="1:6" s="44" customFormat="1" ht="24" customHeight="1">
      <c r="A428" s="169" t="s">
        <v>220</v>
      </c>
      <c r="B428" s="250" t="s">
        <v>570</v>
      </c>
      <c r="C428" s="251" t="s">
        <v>206</v>
      </c>
      <c r="D428" s="51">
        <f t="shared" si="87"/>
        <v>114.2</v>
      </c>
      <c r="E428" s="51">
        <f t="shared" si="87"/>
        <v>114.2</v>
      </c>
      <c r="F428" s="51">
        <f t="shared" si="87"/>
        <v>0</v>
      </c>
    </row>
    <row r="429" spans="1:6" s="44" customFormat="1" ht="12.75" customHeight="1">
      <c r="A429" s="170" t="s">
        <v>221</v>
      </c>
      <c r="B429" s="250" t="s">
        <v>570</v>
      </c>
      <c r="C429" s="251" t="s">
        <v>222</v>
      </c>
      <c r="D429" s="51">
        <v>114.2</v>
      </c>
      <c r="E429" s="51">
        <v>114.2</v>
      </c>
      <c r="F429" s="51">
        <f>D429-E429</f>
        <v>0</v>
      </c>
    </row>
    <row r="430" spans="1:6" s="44" customFormat="1" ht="12.75">
      <c r="A430" s="273" t="s">
        <v>323</v>
      </c>
      <c r="B430" s="250" t="s">
        <v>376</v>
      </c>
      <c r="C430" s="251"/>
      <c r="D430" s="51">
        <f aca="true" t="shared" si="88" ref="D430:F431">D431</f>
        <v>166.5</v>
      </c>
      <c r="E430" s="51">
        <f t="shared" si="88"/>
        <v>166.5</v>
      </c>
      <c r="F430" s="51">
        <f t="shared" si="88"/>
        <v>0</v>
      </c>
    </row>
    <row r="431" spans="1:6" s="44" customFormat="1" ht="23.25" customHeight="1">
      <c r="A431" s="169" t="s">
        <v>220</v>
      </c>
      <c r="B431" s="250" t="s">
        <v>376</v>
      </c>
      <c r="C431" s="251" t="s">
        <v>206</v>
      </c>
      <c r="D431" s="51">
        <f t="shared" si="88"/>
        <v>166.5</v>
      </c>
      <c r="E431" s="51">
        <f t="shared" si="88"/>
        <v>166.5</v>
      </c>
      <c r="F431" s="51">
        <f t="shared" si="88"/>
        <v>0</v>
      </c>
    </row>
    <row r="432" spans="1:6" s="44" customFormat="1" ht="12.75" customHeight="1">
      <c r="A432" s="170" t="s">
        <v>221</v>
      </c>
      <c r="B432" s="250" t="s">
        <v>376</v>
      </c>
      <c r="C432" s="251" t="s">
        <v>222</v>
      </c>
      <c r="D432" s="51">
        <f>186.5-20</f>
        <v>166.5</v>
      </c>
      <c r="E432" s="51">
        <f>186.5-20</f>
        <v>166.5</v>
      </c>
      <c r="F432" s="51">
        <f>D432-E432</f>
        <v>0</v>
      </c>
    </row>
    <row r="433" spans="1:6" s="32" customFormat="1" ht="12.75">
      <c r="A433" s="273" t="s">
        <v>325</v>
      </c>
      <c r="B433" s="250" t="s">
        <v>374</v>
      </c>
      <c r="C433" s="251"/>
      <c r="D433" s="51">
        <f aca="true" t="shared" si="89" ref="D433:F434">D434</f>
        <v>340.6</v>
      </c>
      <c r="E433" s="51">
        <f t="shared" si="89"/>
        <v>340.6</v>
      </c>
      <c r="F433" s="51">
        <f t="shared" si="89"/>
        <v>0</v>
      </c>
    </row>
    <row r="434" spans="1:6" s="32" customFormat="1" ht="26.25" customHeight="1">
      <c r="A434" s="169" t="s">
        <v>220</v>
      </c>
      <c r="B434" s="250" t="s">
        <v>374</v>
      </c>
      <c r="C434" s="251" t="s">
        <v>206</v>
      </c>
      <c r="D434" s="51">
        <f t="shared" si="89"/>
        <v>340.6</v>
      </c>
      <c r="E434" s="51">
        <f t="shared" si="89"/>
        <v>340.6</v>
      </c>
      <c r="F434" s="51">
        <f t="shared" si="89"/>
        <v>0</v>
      </c>
    </row>
    <row r="435" spans="1:6" s="34" customFormat="1" ht="12.75" customHeight="1">
      <c r="A435" s="170" t="s">
        <v>221</v>
      </c>
      <c r="B435" s="250" t="s">
        <v>374</v>
      </c>
      <c r="C435" s="251" t="s">
        <v>222</v>
      </c>
      <c r="D435" s="51">
        <v>340.6</v>
      </c>
      <c r="E435" s="51">
        <v>340.6</v>
      </c>
      <c r="F435" s="51">
        <f>D435-E435</f>
        <v>0</v>
      </c>
    </row>
    <row r="436" spans="1:6" s="32" customFormat="1" ht="12.75">
      <c r="A436" s="273" t="s">
        <v>326</v>
      </c>
      <c r="B436" s="250" t="s">
        <v>375</v>
      </c>
      <c r="C436" s="251"/>
      <c r="D436" s="51">
        <f aca="true" t="shared" si="90" ref="D436:F440">D437</f>
        <v>14.8</v>
      </c>
      <c r="E436" s="51">
        <f t="shared" si="90"/>
        <v>14.8</v>
      </c>
      <c r="F436" s="51">
        <f t="shared" si="90"/>
        <v>0</v>
      </c>
    </row>
    <row r="437" spans="1:6" s="32" customFormat="1" ht="24" customHeight="1">
      <c r="A437" s="169" t="s">
        <v>220</v>
      </c>
      <c r="B437" s="250" t="s">
        <v>375</v>
      </c>
      <c r="C437" s="251" t="s">
        <v>206</v>
      </c>
      <c r="D437" s="51">
        <f t="shared" si="90"/>
        <v>14.8</v>
      </c>
      <c r="E437" s="51">
        <f t="shared" si="90"/>
        <v>14.8</v>
      </c>
      <c r="F437" s="51">
        <f t="shared" si="90"/>
        <v>0</v>
      </c>
    </row>
    <row r="438" spans="1:6" s="34" customFormat="1" ht="12.75" customHeight="1">
      <c r="A438" s="170" t="s">
        <v>221</v>
      </c>
      <c r="B438" s="250" t="s">
        <v>375</v>
      </c>
      <c r="C438" s="251" t="s">
        <v>222</v>
      </c>
      <c r="D438" s="51">
        <v>14.8</v>
      </c>
      <c r="E438" s="51">
        <v>14.8</v>
      </c>
      <c r="F438" s="51">
        <f>D438-E438</f>
        <v>0</v>
      </c>
    </row>
    <row r="439" spans="1:6" s="32" customFormat="1" ht="12.75">
      <c r="A439" s="273" t="s">
        <v>680</v>
      </c>
      <c r="B439" s="250" t="s">
        <v>687</v>
      </c>
      <c r="C439" s="251"/>
      <c r="D439" s="51">
        <f t="shared" si="90"/>
        <v>603.6</v>
      </c>
      <c r="E439" s="51">
        <f t="shared" si="90"/>
        <v>603.6</v>
      </c>
      <c r="F439" s="51">
        <f t="shared" si="90"/>
        <v>0</v>
      </c>
    </row>
    <row r="440" spans="1:6" s="32" customFormat="1" ht="24" customHeight="1">
      <c r="A440" s="169" t="s">
        <v>220</v>
      </c>
      <c r="B440" s="250" t="s">
        <v>687</v>
      </c>
      <c r="C440" s="251" t="s">
        <v>206</v>
      </c>
      <c r="D440" s="51">
        <f t="shared" si="90"/>
        <v>603.6</v>
      </c>
      <c r="E440" s="51">
        <f t="shared" si="90"/>
        <v>603.6</v>
      </c>
      <c r="F440" s="51">
        <f t="shared" si="90"/>
        <v>0</v>
      </c>
    </row>
    <row r="441" spans="1:6" s="34" customFormat="1" ht="12.75" customHeight="1">
      <c r="A441" s="170" t="s">
        <v>221</v>
      </c>
      <c r="B441" s="250" t="s">
        <v>687</v>
      </c>
      <c r="C441" s="251" t="s">
        <v>222</v>
      </c>
      <c r="D441" s="51">
        <v>603.6</v>
      </c>
      <c r="E441" s="51">
        <v>603.6</v>
      </c>
      <c r="F441" s="51">
        <f>D441-E441</f>
        <v>0</v>
      </c>
    </row>
    <row r="442" spans="1:6" s="32" customFormat="1" ht="24">
      <c r="A442" s="264" t="s">
        <v>657</v>
      </c>
      <c r="B442" s="268" t="s">
        <v>656</v>
      </c>
      <c r="C442" s="260"/>
      <c r="D442" s="321">
        <f aca="true" t="shared" si="91" ref="D442:F443">D443</f>
        <v>645.2</v>
      </c>
      <c r="E442" s="321">
        <f t="shared" si="91"/>
        <v>645.2</v>
      </c>
      <c r="F442" s="331">
        <f t="shared" si="91"/>
        <v>0</v>
      </c>
    </row>
    <row r="443" spans="1:6" s="32" customFormat="1" ht="12.75" customHeight="1">
      <c r="A443" s="261" t="s">
        <v>220</v>
      </c>
      <c r="B443" s="268" t="s">
        <v>656</v>
      </c>
      <c r="C443" s="260" t="s">
        <v>206</v>
      </c>
      <c r="D443" s="321">
        <f t="shared" si="91"/>
        <v>645.2</v>
      </c>
      <c r="E443" s="321">
        <f t="shared" si="91"/>
        <v>645.2</v>
      </c>
      <c r="F443" s="331">
        <f t="shared" si="91"/>
        <v>0</v>
      </c>
    </row>
    <row r="444" spans="1:6" s="32" customFormat="1" ht="12.75" customHeight="1">
      <c r="A444" s="262" t="s">
        <v>221</v>
      </c>
      <c r="B444" s="268" t="s">
        <v>656</v>
      </c>
      <c r="C444" s="260" t="s">
        <v>222</v>
      </c>
      <c r="D444" s="321">
        <v>645.2</v>
      </c>
      <c r="E444" s="321">
        <v>645.2</v>
      </c>
      <c r="F444" s="51">
        <f>D444-E444</f>
        <v>0</v>
      </c>
    </row>
    <row r="445" spans="1:6" s="32" customFormat="1" ht="24">
      <c r="A445" s="264" t="s">
        <v>612</v>
      </c>
      <c r="B445" s="259" t="s">
        <v>611</v>
      </c>
      <c r="C445" s="260"/>
      <c r="D445" s="321">
        <f aca="true" t="shared" si="92" ref="D445:F446">D446</f>
        <v>59.7</v>
      </c>
      <c r="E445" s="321">
        <f t="shared" si="92"/>
        <v>59.7</v>
      </c>
      <c r="F445" s="321">
        <f t="shared" si="92"/>
        <v>0</v>
      </c>
    </row>
    <row r="446" spans="1:6" s="32" customFormat="1" ht="24" customHeight="1">
      <c r="A446" s="261" t="s">
        <v>220</v>
      </c>
      <c r="B446" s="259" t="s">
        <v>611</v>
      </c>
      <c r="C446" s="260" t="s">
        <v>206</v>
      </c>
      <c r="D446" s="321">
        <f t="shared" si="92"/>
        <v>59.7</v>
      </c>
      <c r="E446" s="321">
        <f t="shared" si="92"/>
        <v>59.7</v>
      </c>
      <c r="F446" s="321">
        <f t="shared" si="92"/>
        <v>0</v>
      </c>
    </row>
    <row r="447" spans="1:6" s="32" customFormat="1" ht="12.75" customHeight="1">
      <c r="A447" s="262" t="s">
        <v>221</v>
      </c>
      <c r="B447" s="259" t="s">
        <v>611</v>
      </c>
      <c r="C447" s="260" t="s">
        <v>222</v>
      </c>
      <c r="D447" s="321">
        <v>59.7</v>
      </c>
      <c r="E447" s="321">
        <v>59.7</v>
      </c>
      <c r="F447" s="51">
        <f>D447-E447</f>
        <v>0</v>
      </c>
    </row>
    <row r="448" spans="1:6" s="32" customFormat="1" ht="37.5" customHeight="1">
      <c r="A448" s="264" t="s">
        <v>694</v>
      </c>
      <c r="B448" s="259" t="s">
        <v>696</v>
      </c>
      <c r="C448" s="260"/>
      <c r="D448" s="321">
        <f aca="true" t="shared" si="93" ref="D448:F452">D449</f>
        <v>0</v>
      </c>
      <c r="E448" s="321">
        <f t="shared" si="93"/>
        <v>700.4</v>
      </c>
      <c r="F448" s="321">
        <f t="shared" si="93"/>
        <v>-700.4</v>
      </c>
    </row>
    <row r="449" spans="1:6" s="32" customFormat="1" ht="12.75" customHeight="1">
      <c r="A449" s="261" t="s">
        <v>220</v>
      </c>
      <c r="B449" s="259" t="s">
        <v>696</v>
      </c>
      <c r="C449" s="260" t="s">
        <v>206</v>
      </c>
      <c r="D449" s="321">
        <f t="shared" si="93"/>
        <v>0</v>
      </c>
      <c r="E449" s="321">
        <f t="shared" si="93"/>
        <v>700.4</v>
      </c>
      <c r="F449" s="321">
        <f t="shared" si="93"/>
        <v>-700.4</v>
      </c>
    </row>
    <row r="450" spans="1:6" s="32" customFormat="1" ht="12.75" customHeight="1">
      <c r="A450" s="262" t="s">
        <v>221</v>
      </c>
      <c r="B450" s="259" t="s">
        <v>696</v>
      </c>
      <c r="C450" s="260" t="s">
        <v>222</v>
      </c>
      <c r="D450" s="321">
        <v>0</v>
      </c>
      <c r="E450" s="321">
        <v>700.4</v>
      </c>
      <c r="F450" s="51">
        <f>D450-E450</f>
        <v>-700.4</v>
      </c>
    </row>
    <row r="451" spans="1:6" s="32" customFormat="1" ht="12.75" customHeight="1">
      <c r="A451" s="264" t="s">
        <v>694</v>
      </c>
      <c r="B451" s="259" t="s">
        <v>700</v>
      </c>
      <c r="C451" s="260"/>
      <c r="D451" s="321">
        <f t="shared" si="93"/>
        <v>1203.1000000000001</v>
      </c>
      <c r="E451" s="321">
        <f t="shared" si="93"/>
        <v>0</v>
      </c>
      <c r="F451" s="321">
        <f t="shared" si="93"/>
        <v>1203.1000000000001</v>
      </c>
    </row>
    <row r="452" spans="1:6" s="32" customFormat="1" ht="12.75" customHeight="1">
      <c r="A452" s="261" t="s">
        <v>220</v>
      </c>
      <c r="B452" s="259" t="s">
        <v>700</v>
      </c>
      <c r="C452" s="260" t="s">
        <v>206</v>
      </c>
      <c r="D452" s="321">
        <f t="shared" si="93"/>
        <v>1203.1000000000001</v>
      </c>
      <c r="E452" s="321">
        <f t="shared" si="93"/>
        <v>0</v>
      </c>
      <c r="F452" s="321">
        <f t="shared" si="93"/>
        <v>1203.1000000000001</v>
      </c>
    </row>
    <row r="453" spans="1:6" s="32" customFormat="1" ht="12.75" customHeight="1">
      <c r="A453" s="262" t="s">
        <v>221</v>
      </c>
      <c r="B453" s="259" t="s">
        <v>700</v>
      </c>
      <c r="C453" s="260" t="s">
        <v>222</v>
      </c>
      <c r="D453" s="321">
        <f>700.4+418.5+84.2</f>
        <v>1203.1000000000001</v>
      </c>
      <c r="E453" s="321">
        <v>0</v>
      </c>
      <c r="F453" s="51">
        <f>D453-E453</f>
        <v>1203.1000000000001</v>
      </c>
    </row>
    <row r="454" spans="1:6" s="32" customFormat="1" ht="48">
      <c r="A454" s="264" t="s">
        <v>295</v>
      </c>
      <c r="B454" s="259" t="s">
        <v>377</v>
      </c>
      <c r="C454" s="260"/>
      <c r="D454" s="321">
        <f aca="true" t="shared" si="94" ref="D454:F455">D455</f>
        <v>151</v>
      </c>
      <c r="E454" s="321">
        <f t="shared" si="94"/>
        <v>151</v>
      </c>
      <c r="F454" s="321">
        <f t="shared" si="94"/>
        <v>0</v>
      </c>
    </row>
    <row r="455" spans="1:6" s="32" customFormat="1" ht="24" customHeight="1">
      <c r="A455" s="261" t="s">
        <v>220</v>
      </c>
      <c r="B455" s="259" t="s">
        <v>377</v>
      </c>
      <c r="C455" s="260" t="s">
        <v>206</v>
      </c>
      <c r="D455" s="321">
        <f t="shared" si="94"/>
        <v>151</v>
      </c>
      <c r="E455" s="321">
        <f t="shared" si="94"/>
        <v>151</v>
      </c>
      <c r="F455" s="321">
        <f t="shared" si="94"/>
        <v>0</v>
      </c>
    </row>
    <row r="456" spans="1:6" s="32" customFormat="1" ht="12.75" customHeight="1">
      <c r="A456" s="262" t="s">
        <v>221</v>
      </c>
      <c r="B456" s="259" t="s">
        <v>377</v>
      </c>
      <c r="C456" s="260" t="s">
        <v>222</v>
      </c>
      <c r="D456" s="321">
        <f>140+11</f>
        <v>151</v>
      </c>
      <c r="E456" s="321">
        <f>140+11</f>
        <v>151</v>
      </c>
      <c r="F456" s="51">
        <f>D456-E456</f>
        <v>0</v>
      </c>
    </row>
    <row r="457" spans="1:6" s="32" customFormat="1" ht="12.75">
      <c r="A457" s="279" t="s">
        <v>438</v>
      </c>
      <c r="B457" s="248" t="s">
        <v>439</v>
      </c>
      <c r="C457" s="249"/>
      <c r="D457" s="50">
        <f>D458+D465+D468+D471</f>
        <v>1348.1</v>
      </c>
      <c r="E457" s="50">
        <f>E458+E465+E468+E471</f>
        <v>1348.1</v>
      </c>
      <c r="F457" s="50">
        <f>F458+F465+F468+F471</f>
        <v>0</v>
      </c>
    </row>
    <row r="458" spans="1:6" s="32" customFormat="1" ht="12.75">
      <c r="A458" s="168" t="s">
        <v>115</v>
      </c>
      <c r="B458" s="250" t="s">
        <v>464</v>
      </c>
      <c r="C458" s="251"/>
      <c r="D458" s="51">
        <f>D460+D462+D464</f>
        <v>375</v>
      </c>
      <c r="E458" s="51">
        <f>E460+E462+E464</f>
        <v>375</v>
      </c>
      <c r="F458" s="51">
        <f>F460+F462+F464</f>
        <v>0</v>
      </c>
    </row>
    <row r="459" spans="1:6" s="32" customFormat="1" ht="36" customHeight="1">
      <c r="A459" s="252" t="s">
        <v>139</v>
      </c>
      <c r="B459" s="250" t="s">
        <v>464</v>
      </c>
      <c r="C459" s="251" t="s">
        <v>228</v>
      </c>
      <c r="D459" s="51">
        <f>D460</f>
        <v>65</v>
      </c>
      <c r="E459" s="51">
        <f>E460</f>
        <v>65</v>
      </c>
      <c r="F459" s="51">
        <f>F460</f>
        <v>0</v>
      </c>
    </row>
    <row r="460" spans="1:6" s="32" customFormat="1" ht="12.75" customHeight="1">
      <c r="A460" s="169" t="s">
        <v>223</v>
      </c>
      <c r="B460" s="250" t="s">
        <v>464</v>
      </c>
      <c r="C460" s="251" t="s">
        <v>224</v>
      </c>
      <c r="D460" s="51">
        <v>65</v>
      </c>
      <c r="E460" s="51">
        <v>65</v>
      </c>
      <c r="F460" s="51">
        <f>D460-E460</f>
        <v>0</v>
      </c>
    </row>
    <row r="461" spans="1:6" s="32" customFormat="1" ht="12.75" customHeight="1">
      <c r="A461" s="252" t="s">
        <v>264</v>
      </c>
      <c r="B461" s="250" t="s">
        <v>464</v>
      </c>
      <c r="C461" s="251" t="s">
        <v>216</v>
      </c>
      <c r="D461" s="51">
        <f>D462</f>
        <v>60</v>
      </c>
      <c r="E461" s="51">
        <f>E462</f>
        <v>60</v>
      </c>
      <c r="F461" s="51">
        <f>F462</f>
        <v>0</v>
      </c>
    </row>
    <row r="462" spans="1:6" s="32" customFormat="1" ht="12.75" customHeight="1">
      <c r="A462" s="252" t="s">
        <v>217</v>
      </c>
      <c r="B462" s="250" t="s">
        <v>464</v>
      </c>
      <c r="C462" s="251" t="s">
        <v>215</v>
      </c>
      <c r="D462" s="51">
        <v>60</v>
      </c>
      <c r="E462" s="51">
        <v>60</v>
      </c>
      <c r="F462" s="51">
        <f>D462-E462</f>
        <v>0</v>
      </c>
    </row>
    <row r="463" spans="1:6" s="32" customFormat="1" ht="24" customHeight="1">
      <c r="A463" s="169" t="s">
        <v>220</v>
      </c>
      <c r="B463" s="250" t="s">
        <v>464</v>
      </c>
      <c r="C463" s="251" t="s">
        <v>206</v>
      </c>
      <c r="D463" s="51">
        <f>D464</f>
        <v>250</v>
      </c>
      <c r="E463" s="51">
        <f>E464</f>
        <v>250</v>
      </c>
      <c r="F463" s="51">
        <f>F464</f>
        <v>0</v>
      </c>
    </row>
    <row r="464" spans="1:6" s="32" customFormat="1" ht="12.75" customHeight="1">
      <c r="A464" s="170" t="s">
        <v>221</v>
      </c>
      <c r="B464" s="250" t="s">
        <v>464</v>
      </c>
      <c r="C464" s="251" t="s">
        <v>222</v>
      </c>
      <c r="D464" s="51">
        <f>40+140+70</f>
        <v>250</v>
      </c>
      <c r="E464" s="51">
        <f>40+140+70</f>
        <v>250</v>
      </c>
      <c r="F464" s="51">
        <f>D464-E464</f>
        <v>0</v>
      </c>
    </row>
    <row r="465" spans="1:6" s="32" customFormat="1" ht="12.75">
      <c r="A465" s="168" t="s">
        <v>304</v>
      </c>
      <c r="B465" s="250" t="s">
        <v>465</v>
      </c>
      <c r="C465" s="251"/>
      <c r="D465" s="51">
        <f aca="true" t="shared" si="95" ref="D465:F466">D466</f>
        <v>149</v>
      </c>
      <c r="E465" s="51">
        <f t="shared" si="95"/>
        <v>149</v>
      </c>
      <c r="F465" s="51">
        <f t="shared" si="95"/>
        <v>0</v>
      </c>
    </row>
    <row r="466" spans="1:6" s="32" customFormat="1" ht="24" customHeight="1">
      <c r="A466" s="169" t="s">
        <v>220</v>
      </c>
      <c r="B466" s="250" t="s">
        <v>465</v>
      </c>
      <c r="C466" s="251" t="s">
        <v>206</v>
      </c>
      <c r="D466" s="51">
        <f t="shared" si="95"/>
        <v>149</v>
      </c>
      <c r="E466" s="51">
        <f t="shared" si="95"/>
        <v>149</v>
      </c>
      <c r="F466" s="51">
        <f t="shared" si="95"/>
        <v>0</v>
      </c>
    </row>
    <row r="467" spans="1:6" s="32" customFormat="1" ht="12.75" customHeight="1">
      <c r="A467" s="170" t="s">
        <v>221</v>
      </c>
      <c r="B467" s="250" t="s">
        <v>465</v>
      </c>
      <c r="C467" s="251" t="s">
        <v>222</v>
      </c>
      <c r="D467" s="51">
        <f>49+50+50</f>
        <v>149</v>
      </c>
      <c r="E467" s="51">
        <f>49+50+50</f>
        <v>149</v>
      </c>
      <c r="F467" s="51">
        <f>D467-E467</f>
        <v>0</v>
      </c>
    </row>
    <row r="468" spans="1:6" s="32" customFormat="1" ht="24">
      <c r="A468" s="170" t="s">
        <v>330</v>
      </c>
      <c r="B468" s="250" t="s">
        <v>466</v>
      </c>
      <c r="C468" s="251"/>
      <c r="D468" s="51">
        <f aca="true" t="shared" si="96" ref="D468:F469">D469</f>
        <v>188.8</v>
      </c>
      <c r="E468" s="51">
        <f t="shared" si="96"/>
        <v>188.8</v>
      </c>
      <c r="F468" s="51">
        <f t="shared" si="96"/>
        <v>0</v>
      </c>
    </row>
    <row r="469" spans="1:6" s="32" customFormat="1" ht="24" customHeight="1">
      <c r="A469" s="169" t="s">
        <v>220</v>
      </c>
      <c r="B469" s="250" t="s">
        <v>466</v>
      </c>
      <c r="C469" s="251" t="s">
        <v>206</v>
      </c>
      <c r="D469" s="51">
        <f t="shared" si="96"/>
        <v>188.8</v>
      </c>
      <c r="E469" s="51">
        <f t="shared" si="96"/>
        <v>188.8</v>
      </c>
      <c r="F469" s="51">
        <f t="shared" si="96"/>
        <v>0</v>
      </c>
    </row>
    <row r="470" spans="1:6" s="32" customFormat="1" ht="12.75" customHeight="1">
      <c r="A470" s="170" t="s">
        <v>221</v>
      </c>
      <c r="B470" s="250" t="s">
        <v>466</v>
      </c>
      <c r="C470" s="251" t="s">
        <v>222</v>
      </c>
      <c r="D470" s="51">
        <f>88.8+100</f>
        <v>188.8</v>
      </c>
      <c r="E470" s="51">
        <f>88.8+100</f>
        <v>188.8</v>
      </c>
      <c r="F470" s="51">
        <f>D470-E470</f>
        <v>0</v>
      </c>
    </row>
    <row r="471" spans="1:6" s="32" customFormat="1" ht="12.75">
      <c r="A471" s="299" t="s">
        <v>380</v>
      </c>
      <c r="B471" s="250" t="s">
        <v>487</v>
      </c>
      <c r="C471" s="251"/>
      <c r="D471" s="51">
        <f aca="true" t="shared" si="97" ref="D471:F472">D472</f>
        <v>635.3</v>
      </c>
      <c r="E471" s="51">
        <f t="shared" si="97"/>
        <v>635.3</v>
      </c>
      <c r="F471" s="51">
        <f t="shared" si="97"/>
        <v>0</v>
      </c>
    </row>
    <row r="472" spans="1:6" s="20" customFormat="1" ht="22.5" customHeight="1">
      <c r="A472" s="169" t="s">
        <v>220</v>
      </c>
      <c r="B472" s="250" t="s">
        <v>487</v>
      </c>
      <c r="C472" s="251" t="s">
        <v>206</v>
      </c>
      <c r="D472" s="51">
        <f t="shared" si="97"/>
        <v>635.3</v>
      </c>
      <c r="E472" s="51">
        <f t="shared" si="97"/>
        <v>635.3</v>
      </c>
      <c r="F472" s="51">
        <f t="shared" si="97"/>
        <v>0</v>
      </c>
    </row>
    <row r="473" spans="1:6" s="20" customFormat="1" ht="12.75" customHeight="1">
      <c r="A473" s="170" t="s">
        <v>221</v>
      </c>
      <c r="B473" s="250" t="s">
        <v>487</v>
      </c>
      <c r="C473" s="251" t="s">
        <v>222</v>
      </c>
      <c r="D473" s="51">
        <f>350.3+285</f>
        <v>635.3</v>
      </c>
      <c r="E473" s="51">
        <f>350.3+285</f>
        <v>635.3</v>
      </c>
      <c r="F473" s="51">
        <f>D473-E473</f>
        <v>0</v>
      </c>
    </row>
    <row r="474" spans="1:6" s="20" customFormat="1" ht="24">
      <c r="A474" s="275" t="s">
        <v>19</v>
      </c>
      <c r="B474" s="248" t="s">
        <v>17</v>
      </c>
      <c r="C474" s="249"/>
      <c r="D474" s="50">
        <f>D475+D478</f>
        <v>14200.3</v>
      </c>
      <c r="E474" s="50">
        <f>E475+E478</f>
        <v>14200.3</v>
      </c>
      <c r="F474" s="50">
        <f>F475+F478</f>
        <v>0</v>
      </c>
    </row>
    <row r="475" spans="1:6" s="20" customFormat="1" ht="23.25" customHeight="1">
      <c r="A475" s="300" t="s">
        <v>271</v>
      </c>
      <c r="B475" s="250" t="s">
        <v>18</v>
      </c>
      <c r="C475" s="251"/>
      <c r="D475" s="51">
        <f aca="true" t="shared" si="98" ref="D475:F476">D476</f>
        <v>8026.7</v>
      </c>
      <c r="E475" s="51">
        <f t="shared" si="98"/>
        <v>8026.7</v>
      </c>
      <c r="F475" s="51">
        <f t="shared" si="98"/>
        <v>0</v>
      </c>
    </row>
    <row r="476" spans="1:6" s="20" customFormat="1" ht="12.75" customHeight="1">
      <c r="A476" s="252" t="s">
        <v>264</v>
      </c>
      <c r="B476" s="250" t="s">
        <v>18</v>
      </c>
      <c r="C476" s="251" t="s">
        <v>216</v>
      </c>
      <c r="D476" s="51">
        <f t="shared" si="98"/>
        <v>8026.7</v>
      </c>
      <c r="E476" s="51">
        <f t="shared" si="98"/>
        <v>8026.7</v>
      </c>
      <c r="F476" s="51">
        <f t="shared" si="98"/>
        <v>0</v>
      </c>
    </row>
    <row r="477" spans="1:6" s="20" customFormat="1" ht="12.75" customHeight="1">
      <c r="A477" s="252" t="s">
        <v>217</v>
      </c>
      <c r="B477" s="250" t="s">
        <v>18</v>
      </c>
      <c r="C477" s="251" t="s">
        <v>215</v>
      </c>
      <c r="D477" s="51">
        <f>7505.7-57.3+578.3</f>
        <v>8026.7</v>
      </c>
      <c r="E477" s="51">
        <f>7505.7-57.3+578.3</f>
        <v>8026.7</v>
      </c>
      <c r="F477" s="51">
        <f>D477-E477</f>
        <v>0</v>
      </c>
    </row>
    <row r="478" spans="1:6" s="20" customFormat="1" ht="57" customHeight="1">
      <c r="A478" s="253" t="s">
        <v>331</v>
      </c>
      <c r="B478" s="250" t="s">
        <v>399</v>
      </c>
      <c r="C478" s="251"/>
      <c r="D478" s="51">
        <f>D480+D482</f>
        <v>6173.6</v>
      </c>
      <c r="E478" s="51">
        <f>E480+E482</f>
        <v>6173.6</v>
      </c>
      <c r="F478" s="51">
        <f>F480+F482</f>
        <v>0</v>
      </c>
    </row>
    <row r="479" spans="1:6" s="20" customFormat="1" ht="12.75" customHeight="1">
      <c r="A479" s="252" t="s">
        <v>264</v>
      </c>
      <c r="B479" s="250" t="s">
        <v>399</v>
      </c>
      <c r="C479" s="251" t="s">
        <v>216</v>
      </c>
      <c r="D479" s="51">
        <f>D480</f>
        <v>1146.8</v>
      </c>
      <c r="E479" s="51">
        <f>E480</f>
        <v>1146.8</v>
      </c>
      <c r="F479" s="51">
        <f>F480</f>
        <v>0</v>
      </c>
    </row>
    <row r="480" spans="1:6" s="20" customFormat="1" ht="12.75" customHeight="1">
      <c r="A480" s="252" t="s">
        <v>217</v>
      </c>
      <c r="B480" s="250" t="s">
        <v>399</v>
      </c>
      <c r="C480" s="251" t="s">
        <v>215</v>
      </c>
      <c r="D480" s="51">
        <f>1089.5+57.3</f>
        <v>1146.8</v>
      </c>
      <c r="E480" s="51">
        <f>1089.5+57.3</f>
        <v>1146.8</v>
      </c>
      <c r="F480" s="51">
        <f>D480-E480</f>
        <v>0</v>
      </c>
    </row>
    <row r="481" spans="1:6" s="20" customFormat="1" ht="12.75" customHeight="1">
      <c r="A481" s="253" t="s">
        <v>203</v>
      </c>
      <c r="B481" s="250" t="s">
        <v>399</v>
      </c>
      <c r="C481" s="251" t="s">
        <v>204</v>
      </c>
      <c r="D481" s="51">
        <f>D482</f>
        <v>5026.8</v>
      </c>
      <c r="E481" s="51">
        <f>E482</f>
        <v>5026.8</v>
      </c>
      <c r="F481" s="51">
        <f>F482</f>
        <v>0</v>
      </c>
    </row>
    <row r="482" spans="1:6" s="20" customFormat="1" ht="12.75" customHeight="1">
      <c r="A482" s="253" t="s">
        <v>219</v>
      </c>
      <c r="B482" s="250" t="s">
        <v>399</v>
      </c>
      <c r="C482" s="251" t="s">
        <v>218</v>
      </c>
      <c r="D482" s="51">
        <f>4775.5+251.3</f>
        <v>5026.8</v>
      </c>
      <c r="E482" s="51">
        <f>4775.5+251.3</f>
        <v>5026.8</v>
      </c>
      <c r="F482" s="51">
        <f>D482-E482</f>
        <v>0</v>
      </c>
    </row>
    <row r="483" spans="1:6" s="20" customFormat="1" ht="16.5" customHeight="1">
      <c r="A483" s="275" t="s">
        <v>267</v>
      </c>
      <c r="B483" s="248" t="s">
        <v>20</v>
      </c>
      <c r="C483" s="249"/>
      <c r="D483" s="50">
        <f>D487+D484+D490</f>
        <v>1347</v>
      </c>
      <c r="E483" s="50">
        <f>E487+E484+E490</f>
        <v>1347</v>
      </c>
      <c r="F483" s="50">
        <f>F487+F484+F490</f>
        <v>0</v>
      </c>
    </row>
    <row r="484" spans="1:6" s="20" customFormat="1" ht="16.5" customHeight="1">
      <c r="A484" s="253" t="s">
        <v>490</v>
      </c>
      <c r="B484" s="250" t="s">
        <v>641</v>
      </c>
      <c r="C484" s="251"/>
      <c r="D484" s="51">
        <f aca="true" t="shared" si="99" ref="D484:F485">D485</f>
        <v>279.3</v>
      </c>
      <c r="E484" s="51">
        <f t="shared" si="99"/>
        <v>279.3</v>
      </c>
      <c r="F484" s="51">
        <f t="shared" si="99"/>
        <v>0</v>
      </c>
    </row>
    <row r="485" spans="1:6" s="20" customFormat="1" ht="16.5" customHeight="1">
      <c r="A485" s="252" t="s">
        <v>264</v>
      </c>
      <c r="B485" s="250" t="s">
        <v>641</v>
      </c>
      <c r="C485" s="251" t="s">
        <v>216</v>
      </c>
      <c r="D485" s="51">
        <f t="shared" si="99"/>
        <v>279.3</v>
      </c>
      <c r="E485" s="51">
        <f t="shared" si="99"/>
        <v>279.3</v>
      </c>
      <c r="F485" s="51">
        <f t="shared" si="99"/>
        <v>0</v>
      </c>
    </row>
    <row r="486" spans="1:6" s="20" customFormat="1" ht="16.5" customHeight="1">
      <c r="A486" s="252" t="s">
        <v>217</v>
      </c>
      <c r="B486" s="250" t="s">
        <v>641</v>
      </c>
      <c r="C486" s="251" t="s">
        <v>215</v>
      </c>
      <c r="D486" s="51">
        <v>279.3</v>
      </c>
      <c r="E486" s="51">
        <v>279.3</v>
      </c>
      <c r="F486" s="51">
        <f>D486-E486</f>
        <v>0</v>
      </c>
    </row>
    <row r="487" spans="1:6" s="20" customFormat="1" ht="12.75">
      <c r="A487" s="253" t="s">
        <v>8</v>
      </c>
      <c r="B487" s="250" t="s">
        <v>476</v>
      </c>
      <c r="C487" s="251"/>
      <c r="D487" s="51">
        <f aca="true" t="shared" si="100" ref="D487:F491">D488</f>
        <v>267.7</v>
      </c>
      <c r="E487" s="51">
        <f t="shared" si="100"/>
        <v>267.7</v>
      </c>
      <c r="F487" s="51">
        <f t="shared" si="100"/>
        <v>0</v>
      </c>
    </row>
    <row r="488" spans="1:6" s="20" customFormat="1" ht="12.75" customHeight="1">
      <c r="A488" s="252" t="s">
        <v>264</v>
      </c>
      <c r="B488" s="250" t="s">
        <v>476</v>
      </c>
      <c r="C488" s="251" t="s">
        <v>216</v>
      </c>
      <c r="D488" s="51">
        <f t="shared" si="100"/>
        <v>267.7</v>
      </c>
      <c r="E488" s="51">
        <f t="shared" si="100"/>
        <v>267.7</v>
      </c>
      <c r="F488" s="51">
        <f t="shared" si="100"/>
        <v>0</v>
      </c>
    </row>
    <row r="489" spans="1:6" s="20" customFormat="1" ht="12.75" customHeight="1">
      <c r="A489" s="252" t="s">
        <v>217</v>
      </c>
      <c r="B489" s="250" t="s">
        <v>476</v>
      </c>
      <c r="C489" s="251" t="s">
        <v>215</v>
      </c>
      <c r="D489" s="51">
        <f>200-100+167.7</f>
        <v>267.7</v>
      </c>
      <c r="E489" s="51">
        <f>200-100+167.7</f>
        <v>267.7</v>
      </c>
      <c r="F489" s="51">
        <f>D489-E489</f>
        <v>0</v>
      </c>
    </row>
    <row r="490" spans="1:6" s="20" customFormat="1" ht="24">
      <c r="A490" s="253" t="s">
        <v>643</v>
      </c>
      <c r="B490" s="250" t="s">
        <v>642</v>
      </c>
      <c r="C490" s="251"/>
      <c r="D490" s="51">
        <f t="shared" si="100"/>
        <v>800</v>
      </c>
      <c r="E490" s="51">
        <f t="shared" si="100"/>
        <v>800</v>
      </c>
      <c r="F490" s="51">
        <f t="shared" si="100"/>
        <v>0</v>
      </c>
    </row>
    <row r="491" spans="1:6" s="20" customFormat="1" ht="12.75" customHeight="1">
      <c r="A491" s="252" t="s">
        <v>264</v>
      </c>
      <c r="B491" s="250" t="s">
        <v>642</v>
      </c>
      <c r="C491" s="251" t="s">
        <v>216</v>
      </c>
      <c r="D491" s="51">
        <f t="shared" si="100"/>
        <v>800</v>
      </c>
      <c r="E491" s="51">
        <f t="shared" si="100"/>
        <v>800</v>
      </c>
      <c r="F491" s="51">
        <f t="shared" si="100"/>
        <v>0</v>
      </c>
    </row>
    <row r="492" spans="1:6" s="20" customFormat="1" ht="12.75" customHeight="1">
      <c r="A492" s="252" t="s">
        <v>217</v>
      </c>
      <c r="B492" s="250" t="s">
        <v>642</v>
      </c>
      <c r="C492" s="251" t="s">
        <v>215</v>
      </c>
      <c r="D492" s="51">
        <f>750+50</f>
        <v>800</v>
      </c>
      <c r="E492" s="51">
        <f>750+50</f>
        <v>800</v>
      </c>
      <c r="F492" s="51">
        <f>D492-E492</f>
        <v>0</v>
      </c>
    </row>
    <row r="493" spans="1:6" s="20" customFormat="1" ht="24">
      <c r="A493" s="247" t="s">
        <v>435</v>
      </c>
      <c r="B493" s="248" t="s">
        <v>93</v>
      </c>
      <c r="C493" s="249"/>
      <c r="D493" s="325">
        <f aca="true" t="shared" si="101" ref="D493:F494">D494</f>
        <v>679.2</v>
      </c>
      <c r="E493" s="325">
        <f t="shared" si="101"/>
        <v>440</v>
      </c>
      <c r="F493" s="325">
        <f t="shared" si="101"/>
        <v>239.20000000000005</v>
      </c>
    </row>
    <row r="494" spans="1:6" s="20" customFormat="1" ht="24">
      <c r="A494" s="168" t="s">
        <v>128</v>
      </c>
      <c r="B494" s="254" t="s">
        <v>94</v>
      </c>
      <c r="C494" s="251"/>
      <c r="D494" s="323">
        <f t="shared" si="101"/>
        <v>679.2</v>
      </c>
      <c r="E494" s="323">
        <f t="shared" si="101"/>
        <v>440</v>
      </c>
      <c r="F494" s="323">
        <f t="shared" si="101"/>
        <v>239.20000000000005</v>
      </c>
    </row>
    <row r="495" spans="1:6" s="20" customFormat="1" ht="24" customHeight="1">
      <c r="A495" s="261" t="s">
        <v>220</v>
      </c>
      <c r="B495" s="254" t="s">
        <v>94</v>
      </c>
      <c r="C495" s="251" t="s">
        <v>206</v>
      </c>
      <c r="D495" s="323">
        <f>D496+D497</f>
        <v>679.2</v>
      </c>
      <c r="E495" s="323">
        <f>E496+E497</f>
        <v>440</v>
      </c>
      <c r="F495" s="323">
        <f>F496+F497</f>
        <v>239.20000000000005</v>
      </c>
    </row>
    <row r="496" spans="1:6" s="20" customFormat="1" ht="12.75" customHeight="1">
      <c r="A496" s="262" t="s">
        <v>221</v>
      </c>
      <c r="B496" s="254" t="s">
        <v>94</v>
      </c>
      <c r="C496" s="251" t="s">
        <v>222</v>
      </c>
      <c r="D496" s="323">
        <f>415-1.8+241</f>
        <v>654.2</v>
      </c>
      <c r="E496" s="323">
        <v>415</v>
      </c>
      <c r="F496" s="51">
        <f>D496-E496</f>
        <v>239.20000000000005</v>
      </c>
    </row>
    <row r="497" spans="1:6" s="20" customFormat="1" ht="12.75" customHeight="1">
      <c r="A497" s="170" t="s">
        <v>227</v>
      </c>
      <c r="B497" s="254" t="s">
        <v>94</v>
      </c>
      <c r="C497" s="251" t="s">
        <v>226</v>
      </c>
      <c r="D497" s="323">
        <v>25</v>
      </c>
      <c r="E497" s="323">
        <v>25</v>
      </c>
      <c r="F497" s="51">
        <f>D497-E497</f>
        <v>0</v>
      </c>
    </row>
    <row r="498" spans="1:6" s="20" customFormat="1" ht="12.75">
      <c r="A498" s="275" t="s">
        <v>511</v>
      </c>
      <c r="B498" s="248" t="s">
        <v>58</v>
      </c>
      <c r="C498" s="249"/>
      <c r="D498" s="50">
        <f>D499+D508+D519</f>
        <v>3285.1</v>
      </c>
      <c r="E498" s="50">
        <f>E499+E508+E519</f>
        <v>3285.1</v>
      </c>
      <c r="F498" s="50">
        <f>F499+F508+F519</f>
        <v>0</v>
      </c>
    </row>
    <row r="499" spans="1:6" s="20" customFormat="1" ht="24">
      <c r="A499" s="270" t="s">
        <v>512</v>
      </c>
      <c r="B499" s="271" t="s">
        <v>257</v>
      </c>
      <c r="C499" s="272"/>
      <c r="D499" s="50">
        <f>D500+D505</f>
        <v>1989.3</v>
      </c>
      <c r="E499" s="50">
        <f>E500+E505</f>
        <v>1989.3</v>
      </c>
      <c r="F499" s="50">
        <f>F500+F505</f>
        <v>0</v>
      </c>
    </row>
    <row r="500" spans="1:6" s="20" customFormat="1" ht="11.25" customHeight="1">
      <c r="A500" s="253" t="s">
        <v>117</v>
      </c>
      <c r="B500" s="250" t="s">
        <v>334</v>
      </c>
      <c r="C500" s="251"/>
      <c r="D500" s="51">
        <f>D501+D503</f>
        <v>54.7</v>
      </c>
      <c r="E500" s="51">
        <f>E501+E503</f>
        <v>54.7</v>
      </c>
      <c r="F500" s="51">
        <f>F501+F503</f>
        <v>0</v>
      </c>
    </row>
    <row r="501" spans="1:6" s="20" customFormat="1" ht="36" customHeight="1">
      <c r="A501" s="252" t="s">
        <v>139</v>
      </c>
      <c r="B501" s="250" t="s">
        <v>334</v>
      </c>
      <c r="C501" s="251" t="s">
        <v>228</v>
      </c>
      <c r="D501" s="51">
        <f>D502</f>
        <v>13.2</v>
      </c>
      <c r="E501" s="51">
        <f>E502</f>
        <v>13.2</v>
      </c>
      <c r="F501" s="51">
        <f>F502</f>
        <v>0</v>
      </c>
    </row>
    <row r="502" spans="1:6" s="20" customFormat="1" ht="12.75" customHeight="1">
      <c r="A502" s="169" t="s">
        <v>223</v>
      </c>
      <c r="B502" s="250" t="s">
        <v>334</v>
      </c>
      <c r="C502" s="251" t="s">
        <v>224</v>
      </c>
      <c r="D502" s="51">
        <v>13.2</v>
      </c>
      <c r="E502" s="51">
        <v>13.2</v>
      </c>
      <c r="F502" s="51">
        <f>D502-E502</f>
        <v>0</v>
      </c>
    </row>
    <row r="503" spans="1:6" s="20" customFormat="1" ht="12.75" customHeight="1">
      <c r="A503" s="252" t="s">
        <v>264</v>
      </c>
      <c r="B503" s="250" t="s">
        <v>334</v>
      </c>
      <c r="C503" s="251" t="s">
        <v>216</v>
      </c>
      <c r="D503" s="51">
        <f>D504</f>
        <v>41.5</v>
      </c>
      <c r="E503" s="51">
        <f>E504</f>
        <v>41.5</v>
      </c>
      <c r="F503" s="51">
        <f>F504</f>
        <v>0</v>
      </c>
    </row>
    <row r="504" spans="1:6" s="20" customFormat="1" ht="12.75" customHeight="1">
      <c r="A504" s="252" t="s">
        <v>217</v>
      </c>
      <c r="B504" s="250" t="s">
        <v>334</v>
      </c>
      <c r="C504" s="251" t="s">
        <v>215</v>
      </c>
      <c r="D504" s="51">
        <v>41.5</v>
      </c>
      <c r="E504" s="51">
        <v>41.5</v>
      </c>
      <c r="F504" s="51">
        <f>D504-E504</f>
        <v>0</v>
      </c>
    </row>
    <row r="505" spans="1:6" s="20" customFormat="1" ht="12.75">
      <c r="A505" s="265" t="s">
        <v>385</v>
      </c>
      <c r="B505" s="250" t="s">
        <v>335</v>
      </c>
      <c r="C505" s="251"/>
      <c r="D505" s="51">
        <f>SUM(D506)</f>
        <v>1934.6</v>
      </c>
      <c r="E505" s="51">
        <f>SUM(E506)</f>
        <v>1934.6</v>
      </c>
      <c r="F505" s="51">
        <f>SUM(F506)</f>
        <v>0</v>
      </c>
    </row>
    <row r="506" spans="1:6" s="20" customFormat="1" ht="13.5" customHeight="1">
      <c r="A506" s="253" t="s">
        <v>203</v>
      </c>
      <c r="B506" s="250" t="s">
        <v>335</v>
      </c>
      <c r="C506" s="251" t="s">
        <v>204</v>
      </c>
      <c r="D506" s="51">
        <f>D507</f>
        <v>1934.6</v>
      </c>
      <c r="E506" s="51">
        <f>E507</f>
        <v>1934.6</v>
      </c>
      <c r="F506" s="51">
        <f>F507</f>
        <v>0</v>
      </c>
    </row>
    <row r="507" spans="1:6" s="20" customFormat="1" ht="12.75" customHeight="1">
      <c r="A507" s="253" t="s">
        <v>234</v>
      </c>
      <c r="B507" s="250" t="s">
        <v>335</v>
      </c>
      <c r="C507" s="251" t="s">
        <v>233</v>
      </c>
      <c r="D507" s="51">
        <v>1934.6</v>
      </c>
      <c r="E507" s="51">
        <v>1934.6</v>
      </c>
      <c r="F507" s="51">
        <f>D507-E507</f>
        <v>0</v>
      </c>
    </row>
    <row r="508" spans="1:6" s="20" customFormat="1" ht="24">
      <c r="A508" s="278" t="s">
        <v>513</v>
      </c>
      <c r="B508" s="271" t="s">
        <v>72</v>
      </c>
      <c r="C508" s="272"/>
      <c r="D508" s="50">
        <f>D509+D516</f>
        <v>1215.8</v>
      </c>
      <c r="E508" s="50">
        <f>E509+E516</f>
        <v>1215.8</v>
      </c>
      <c r="F508" s="50">
        <f>F509+F516</f>
        <v>0</v>
      </c>
    </row>
    <row r="509" spans="1:6" s="20" customFormat="1" ht="12.75">
      <c r="A509" s="253" t="s">
        <v>112</v>
      </c>
      <c r="B509" s="250" t="s">
        <v>337</v>
      </c>
      <c r="C509" s="251"/>
      <c r="D509" s="51">
        <f>D510+D514+D512</f>
        <v>380</v>
      </c>
      <c r="E509" s="51">
        <f>E510+E514+E512</f>
        <v>380</v>
      </c>
      <c r="F509" s="51">
        <f>F510+F514+F512</f>
        <v>0</v>
      </c>
    </row>
    <row r="510" spans="1:6" s="20" customFormat="1" ht="36" customHeight="1">
      <c r="A510" s="252" t="s">
        <v>139</v>
      </c>
      <c r="B510" s="250" t="s">
        <v>337</v>
      </c>
      <c r="C510" s="251" t="s">
        <v>228</v>
      </c>
      <c r="D510" s="51">
        <f>D511</f>
        <v>35.1</v>
      </c>
      <c r="E510" s="51">
        <f>E511</f>
        <v>35.1</v>
      </c>
      <c r="F510" s="51">
        <f>F511</f>
        <v>0</v>
      </c>
    </row>
    <row r="511" spans="1:6" s="20" customFormat="1" ht="12.75" customHeight="1">
      <c r="A511" s="169" t="s">
        <v>223</v>
      </c>
      <c r="B511" s="250" t="s">
        <v>337</v>
      </c>
      <c r="C511" s="251" t="s">
        <v>224</v>
      </c>
      <c r="D511" s="51">
        <v>35.1</v>
      </c>
      <c r="E511" s="51">
        <v>35.1</v>
      </c>
      <c r="F511" s="51">
        <f>D511-E511</f>
        <v>0</v>
      </c>
    </row>
    <row r="512" spans="1:6" s="20" customFormat="1" ht="12.75" customHeight="1">
      <c r="A512" s="252" t="s">
        <v>264</v>
      </c>
      <c r="B512" s="250" t="s">
        <v>337</v>
      </c>
      <c r="C512" s="251" t="s">
        <v>216</v>
      </c>
      <c r="D512" s="51">
        <f>D513</f>
        <v>324.9</v>
      </c>
      <c r="E512" s="51">
        <f>E513</f>
        <v>324.9</v>
      </c>
      <c r="F512" s="51">
        <f>F513</f>
        <v>0</v>
      </c>
    </row>
    <row r="513" spans="1:6" s="20" customFormat="1" ht="24" customHeight="1">
      <c r="A513" s="252" t="s">
        <v>217</v>
      </c>
      <c r="B513" s="250" t="s">
        <v>337</v>
      </c>
      <c r="C513" s="251" t="s">
        <v>215</v>
      </c>
      <c r="D513" s="51">
        <v>324.9</v>
      </c>
      <c r="E513" s="51">
        <v>324.9</v>
      </c>
      <c r="F513" s="51">
        <f>D513-E513</f>
        <v>0</v>
      </c>
    </row>
    <row r="514" spans="1:6" s="20" customFormat="1" ht="24" customHeight="1">
      <c r="A514" s="301" t="s">
        <v>317</v>
      </c>
      <c r="B514" s="250" t="s">
        <v>337</v>
      </c>
      <c r="C514" s="251" t="s">
        <v>206</v>
      </c>
      <c r="D514" s="51">
        <f>D515</f>
        <v>20</v>
      </c>
      <c r="E514" s="51">
        <f>E515</f>
        <v>20</v>
      </c>
      <c r="F514" s="51">
        <f>F515</f>
        <v>0</v>
      </c>
    </row>
    <row r="515" spans="1:6" s="20" customFormat="1" ht="24" customHeight="1">
      <c r="A515" s="170" t="s">
        <v>518</v>
      </c>
      <c r="B515" s="250" t="s">
        <v>337</v>
      </c>
      <c r="C515" s="251" t="s">
        <v>236</v>
      </c>
      <c r="D515" s="51">
        <v>20</v>
      </c>
      <c r="E515" s="51">
        <v>20</v>
      </c>
      <c r="F515" s="51">
        <f>D515-E515</f>
        <v>0</v>
      </c>
    </row>
    <row r="516" spans="1:6" s="20" customFormat="1" ht="24">
      <c r="A516" s="88" t="s">
        <v>386</v>
      </c>
      <c r="B516" s="259" t="s">
        <v>338</v>
      </c>
      <c r="C516" s="251"/>
      <c r="D516" s="51">
        <f aca="true" t="shared" si="102" ref="D516:F517">D517</f>
        <v>835.8</v>
      </c>
      <c r="E516" s="51">
        <f t="shared" si="102"/>
        <v>835.8</v>
      </c>
      <c r="F516" s="51">
        <f t="shared" si="102"/>
        <v>0</v>
      </c>
    </row>
    <row r="517" spans="1:6" s="20" customFormat="1" ht="24" customHeight="1">
      <c r="A517" s="301" t="s">
        <v>317</v>
      </c>
      <c r="B517" s="259" t="s">
        <v>338</v>
      </c>
      <c r="C517" s="251" t="s">
        <v>206</v>
      </c>
      <c r="D517" s="51">
        <f t="shared" si="102"/>
        <v>835.8</v>
      </c>
      <c r="E517" s="51">
        <f t="shared" si="102"/>
        <v>835.8</v>
      </c>
      <c r="F517" s="51">
        <f t="shared" si="102"/>
        <v>0</v>
      </c>
    </row>
    <row r="518" spans="1:6" s="20" customFormat="1" ht="26.25" customHeight="1">
      <c r="A518" s="170" t="s">
        <v>518</v>
      </c>
      <c r="B518" s="259" t="s">
        <v>338</v>
      </c>
      <c r="C518" s="251" t="s">
        <v>236</v>
      </c>
      <c r="D518" s="51">
        <v>835.8</v>
      </c>
      <c r="E518" s="51">
        <v>835.8</v>
      </c>
      <c r="F518" s="51">
        <f>D518-E518</f>
        <v>0</v>
      </c>
    </row>
    <row r="519" spans="1:6" s="20" customFormat="1" ht="12.75">
      <c r="A519" s="278" t="s">
        <v>555</v>
      </c>
      <c r="B519" s="271" t="s">
        <v>556</v>
      </c>
      <c r="C519" s="272"/>
      <c r="D519" s="50">
        <f>D520</f>
        <v>80</v>
      </c>
      <c r="E519" s="50">
        <f>E520</f>
        <v>80</v>
      </c>
      <c r="F519" s="50">
        <f>F520</f>
        <v>0</v>
      </c>
    </row>
    <row r="520" spans="1:6" s="20" customFormat="1" ht="12.75">
      <c r="A520" s="253" t="s">
        <v>112</v>
      </c>
      <c r="B520" s="250" t="s">
        <v>557</v>
      </c>
      <c r="C520" s="251"/>
      <c r="D520" s="51">
        <f>D521+D523</f>
        <v>80</v>
      </c>
      <c r="E520" s="51">
        <f>E521+E523</f>
        <v>80</v>
      </c>
      <c r="F520" s="51">
        <f>F521+F523</f>
        <v>0</v>
      </c>
    </row>
    <row r="521" spans="1:6" s="20" customFormat="1" ht="36" customHeight="1">
      <c r="A521" s="252" t="s">
        <v>139</v>
      </c>
      <c r="B521" s="250" t="s">
        <v>557</v>
      </c>
      <c r="C521" s="251" t="s">
        <v>228</v>
      </c>
      <c r="D521" s="51">
        <f>D522</f>
        <v>60</v>
      </c>
      <c r="E521" s="51">
        <f>E522</f>
        <v>60</v>
      </c>
      <c r="F521" s="51">
        <f>F522</f>
        <v>0</v>
      </c>
    </row>
    <row r="522" spans="1:6" s="20" customFormat="1" ht="12.75" customHeight="1">
      <c r="A522" s="169" t="s">
        <v>223</v>
      </c>
      <c r="B522" s="250" t="s">
        <v>557</v>
      </c>
      <c r="C522" s="251" t="s">
        <v>224</v>
      </c>
      <c r="D522" s="51">
        <v>60</v>
      </c>
      <c r="E522" s="51">
        <v>60</v>
      </c>
      <c r="F522" s="51">
        <f>D522-E522</f>
        <v>0</v>
      </c>
    </row>
    <row r="523" spans="1:6" s="20" customFormat="1" ht="12.75" customHeight="1">
      <c r="A523" s="252" t="s">
        <v>264</v>
      </c>
      <c r="B523" s="250" t="s">
        <v>557</v>
      </c>
      <c r="C523" s="251" t="s">
        <v>216</v>
      </c>
      <c r="D523" s="51">
        <f>D524</f>
        <v>20</v>
      </c>
      <c r="E523" s="51">
        <f>E524</f>
        <v>20</v>
      </c>
      <c r="F523" s="51">
        <f>F524</f>
        <v>0</v>
      </c>
    </row>
    <row r="524" spans="1:6" s="20" customFormat="1" ht="16.5" customHeight="1">
      <c r="A524" s="252" t="s">
        <v>217</v>
      </c>
      <c r="B524" s="250" t="s">
        <v>557</v>
      </c>
      <c r="C524" s="251" t="s">
        <v>215</v>
      </c>
      <c r="D524" s="51">
        <v>20</v>
      </c>
      <c r="E524" s="51">
        <v>20</v>
      </c>
      <c r="F524" s="51">
        <f>D524-E524</f>
        <v>0</v>
      </c>
    </row>
    <row r="525" spans="1:6" s="20" customFormat="1" ht="12.75">
      <c r="A525" s="247" t="s">
        <v>300</v>
      </c>
      <c r="B525" s="248" t="s">
        <v>21</v>
      </c>
      <c r="C525" s="249"/>
      <c r="D525" s="50">
        <f>D526+D532+D529</f>
        <v>2509.3</v>
      </c>
      <c r="E525" s="50">
        <f>E526+E532+E529</f>
        <v>2509.3</v>
      </c>
      <c r="F525" s="50">
        <f>F526+F532+F529</f>
        <v>0</v>
      </c>
    </row>
    <row r="526" spans="1:6" s="20" customFormat="1" ht="12.75">
      <c r="A526" s="273" t="s">
        <v>288</v>
      </c>
      <c r="B526" s="250" t="s">
        <v>554</v>
      </c>
      <c r="C526" s="251"/>
      <c r="D526" s="51">
        <f aca="true" t="shared" si="103" ref="D526:F527">D527</f>
        <v>70</v>
      </c>
      <c r="E526" s="51">
        <f t="shared" si="103"/>
        <v>70</v>
      </c>
      <c r="F526" s="51">
        <f t="shared" si="103"/>
        <v>0</v>
      </c>
    </row>
    <row r="527" spans="1:6" s="20" customFormat="1" ht="18" customHeight="1">
      <c r="A527" s="252" t="s">
        <v>264</v>
      </c>
      <c r="B527" s="250" t="s">
        <v>554</v>
      </c>
      <c r="C527" s="251" t="s">
        <v>216</v>
      </c>
      <c r="D527" s="51">
        <f t="shared" si="103"/>
        <v>70</v>
      </c>
      <c r="E527" s="51">
        <f t="shared" si="103"/>
        <v>70</v>
      </c>
      <c r="F527" s="51">
        <f t="shared" si="103"/>
        <v>0</v>
      </c>
    </row>
    <row r="528" spans="1:6" s="20" customFormat="1" ht="16.5" customHeight="1">
      <c r="A528" s="252" t="s">
        <v>217</v>
      </c>
      <c r="B528" s="250" t="s">
        <v>554</v>
      </c>
      <c r="C528" s="251" t="s">
        <v>215</v>
      </c>
      <c r="D528" s="51">
        <v>70</v>
      </c>
      <c r="E528" s="51">
        <v>70</v>
      </c>
      <c r="F528" s="51">
        <f>D528-E528</f>
        <v>0</v>
      </c>
    </row>
    <row r="529" spans="1:6" s="20" customFormat="1" ht="24">
      <c r="A529" s="273" t="s">
        <v>588</v>
      </c>
      <c r="B529" s="250" t="s">
        <v>587</v>
      </c>
      <c r="C529" s="251"/>
      <c r="D529" s="51">
        <f aca="true" t="shared" si="104" ref="D529:F530">D530</f>
        <v>2399.3</v>
      </c>
      <c r="E529" s="51">
        <f t="shared" si="104"/>
        <v>2399.3</v>
      </c>
      <c r="F529" s="51">
        <f t="shared" si="104"/>
        <v>0</v>
      </c>
    </row>
    <row r="530" spans="1:6" s="20" customFormat="1" ht="21" customHeight="1">
      <c r="A530" s="252" t="s">
        <v>264</v>
      </c>
      <c r="B530" s="250" t="s">
        <v>587</v>
      </c>
      <c r="C530" s="251" t="s">
        <v>216</v>
      </c>
      <c r="D530" s="51">
        <f t="shared" si="104"/>
        <v>2399.3</v>
      </c>
      <c r="E530" s="51">
        <f t="shared" si="104"/>
        <v>2399.3</v>
      </c>
      <c r="F530" s="51">
        <f t="shared" si="104"/>
        <v>0</v>
      </c>
    </row>
    <row r="531" spans="1:6" s="20" customFormat="1" ht="12.75" customHeight="1">
      <c r="A531" s="252" t="s">
        <v>217</v>
      </c>
      <c r="B531" s="250" t="s">
        <v>587</v>
      </c>
      <c r="C531" s="251" t="s">
        <v>215</v>
      </c>
      <c r="D531" s="51">
        <f>3774.3-1375</f>
        <v>2399.3</v>
      </c>
      <c r="E531" s="51">
        <f>3774.3-1375</f>
        <v>2399.3</v>
      </c>
      <c r="F531" s="51">
        <f>D531-E531</f>
        <v>0</v>
      </c>
    </row>
    <row r="532" spans="1:6" s="20" customFormat="1" ht="24">
      <c r="A532" s="273" t="s">
        <v>553</v>
      </c>
      <c r="B532" s="250" t="s">
        <v>552</v>
      </c>
      <c r="C532" s="251"/>
      <c r="D532" s="51">
        <f aca="true" t="shared" si="105" ref="D532:F533">D533</f>
        <v>40</v>
      </c>
      <c r="E532" s="51">
        <f t="shared" si="105"/>
        <v>40</v>
      </c>
      <c r="F532" s="51">
        <f t="shared" si="105"/>
        <v>0</v>
      </c>
    </row>
    <row r="533" spans="1:6" s="20" customFormat="1" ht="21" customHeight="1">
      <c r="A533" s="252" t="s">
        <v>264</v>
      </c>
      <c r="B533" s="250" t="s">
        <v>552</v>
      </c>
      <c r="C533" s="251" t="s">
        <v>216</v>
      </c>
      <c r="D533" s="51">
        <f t="shared" si="105"/>
        <v>40</v>
      </c>
      <c r="E533" s="51">
        <f t="shared" si="105"/>
        <v>40</v>
      </c>
      <c r="F533" s="51">
        <f t="shared" si="105"/>
        <v>0</v>
      </c>
    </row>
    <row r="534" spans="1:6" s="20" customFormat="1" ht="12.75" customHeight="1">
      <c r="A534" s="252" t="s">
        <v>217</v>
      </c>
      <c r="B534" s="250" t="s">
        <v>552</v>
      </c>
      <c r="C534" s="251" t="s">
        <v>215</v>
      </c>
      <c r="D534" s="51">
        <v>40</v>
      </c>
      <c r="E534" s="51">
        <v>40</v>
      </c>
      <c r="F534" s="51">
        <f>D534-E534</f>
        <v>0</v>
      </c>
    </row>
    <row r="535" spans="1:6" s="20" customFormat="1" ht="24">
      <c r="A535" s="247" t="s">
        <v>488</v>
      </c>
      <c r="B535" s="248" t="s">
        <v>468</v>
      </c>
      <c r="C535" s="249"/>
      <c r="D535" s="50">
        <f aca="true" t="shared" si="106" ref="D535:F537">D536</f>
        <v>56</v>
      </c>
      <c r="E535" s="50">
        <f t="shared" si="106"/>
        <v>56</v>
      </c>
      <c r="F535" s="50">
        <f t="shared" si="106"/>
        <v>0</v>
      </c>
    </row>
    <row r="536" spans="1:6" s="20" customFormat="1" ht="24">
      <c r="A536" s="253" t="s">
        <v>111</v>
      </c>
      <c r="B536" s="250" t="s">
        <v>469</v>
      </c>
      <c r="C536" s="251"/>
      <c r="D536" s="51">
        <f t="shared" si="106"/>
        <v>56</v>
      </c>
      <c r="E536" s="51">
        <f t="shared" si="106"/>
        <v>56</v>
      </c>
      <c r="F536" s="51">
        <f t="shared" si="106"/>
        <v>0</v>
      </c>
    </row>
    <row r="537" spans="1:6" s="20" customFormat="1" ht="12.75" customHeight="1">
      <c r="A537" s="252" t="s">
        <v>264</v>
      </c>
      <c r="B537" s="250" t="s">
        <v>469</v>
      </c>
      <c r="C537" s="251" t="s">
        <v>216</v>
      </c>
      <c r="D537" s="51">
        <f t="shared" si="106"/>
        <v>56</v>
      </c>
      <c r="E537" s="51">
        <f t="shared" si="106"/>
        <v>56</v>
      </c>
      <c r="F537" s="51">
        <f t="shared" si="106"/>
        <v>0</v>
      </c>
    </row>
    <row r="538" spans="1:6" s="20" customFormat="1" ht="12.75" customHeight="1">
      <c r="A538" s="252" t="s">
        <v>217</v>
      </c>
      <c r="B538" s="250" t="s">
        <v>469</v>
      </c>
      <c r="C538" s="251" t="s">
        <v>215</v>
      </c>
      <c r="D538" s="51">
        <v>56</v>
      </c>
      <c r="E538" s="51">
        <v>56</v>
      </c>
      <c r="F538" s="51">
        <f>D538-E538</f>
        <v>0</v>
      </c>
    </row>
    <row r="539" spans="1:6" s="20" customFormat="1" ht="24">
      <c r="A539" s="285" t="s">
        <v>408</v>
      </c>
      <c r="B539" s="248" t="s">
        <v>22</v>
      </c>
      <c r="C539" s="302"/>
      <c r="D539" s="320">
        <f>D540+D545+D554+D557+D562+D551+D565+D568+D571</f>
        <v>26093.899999999998</v>
      </c>
      <c r="E539" s="320">
        <f>E540+E545+E554+E557+E562+E551+E565+E568+E571</f>
        <v>26093.900000000005</v>
      </c>
      <c r="F539" s="320">
        <f>F540+F545+F554+F557+F562+F551+F565+F568+F571</f>
        <v>-1.8189894035458565E-12</v>
      </c>
    </row>
    <row r="540" spans="1:6" s="20" customFormat="1" ht="12.75">
      <c r="A540" s="253" t="s">
        <v>138</v>
      </c>
      <c r="B540" s="250" t="s">
        <v>79</v>
      </c>
      <c r="C540" s="303"/>
      <c r="D540" s="320">
        <f>D541+D543</f>
        <v>10907.8</v>
      </c>
      <c r="E540" s="320">
        <f>E541+E543</f>
        <v>10907.800000000001</v>
      </c>
      <c r="F540" s="320">
        <f>F541+F543</f>
        <v>-1.8189894035458565E-12</v>
      </c>
    </row>
    <row r="541" spans="1:6" s="20" customFormat="1" ht="36" customHeight="1">
      <c r="A541" s="252" t="s">
        <v>139</v>
      </c>
      <c r="B541" s="250" t="s">
        <v>79</v>
      </c>
      <c r="C541" s="251" t="s">
        <v>228</v>
      </c>
      <c r="D541" s="321">
        <f>D542</f>
        <v>10183.8</v>
      </c>
      <c r="E541" s="321">
        <f>E542</f>
        <v>10238.800000000001</v>
      </c>
      <c r="F541" s="321">
        <f>F542</f>
        <v>-55.00000000000182</v>
      </c>
    </row>
    <row r="542" spans="1:6" s="20" customFormat="1" ht="12.75" customHeight="1">
      <c r="A542" s="169" t="s">
        <v>223</v>
      </c>
      <c r="B542" s="250" t="s">
        <v>79</v>
      </c>
      <c r="C542" s="251" t="s">
        <v>224</v>
      </c>
      <c r="D542" s="323">
        <v>10183.8</v>
      </c>
      <c r="E542" s="323">
        <f>9418.4+130+530.2+160.2</f>
        <v>10238.800000000001</v>
      </c>
      <c r="F542" s="51">
        <f>D542-E542</f>
        <v>-55.00000000000182</v>
      </c>
    </row>
    <row r="543" spans="1:6" s="20" customFormat="1" ht="12.75" customHeight="1">
      <c r="A543" s="252" t="s">
        <v>264</v>
      </c>
      <c r="B543" s="250" t="s">
        <v>79</v>
      </c>
      <c r="C543" s="251" t="s">
        <v>216</v>
      </c>
      <c r="D543" s="51">
        <f>D544</f>
        <v>724</v>
      </c>
      <c r="E543" s="51">
        <f>E544</f>
        <v>669</v>
      </c>
      <c r="F543" s="51">
        <f>F544</f>
        <v>55</v>
      </c>
    </row>
    <row r="544" spans="1:6" s="20" customFormat="1" ht="12.75" customHeight="1">
      <c r="A544" s="252" t="s">
        <v>217</v>
      </c>
      <c r="B544" s="250" t="s">
        <v>79</v>
      </c>
      <c r="C544" s="251" t="s">
        <v>215</v>
      </c>
      <c r="D544" s="51">
        <v>724</v>
      </c>
      <c r="E544" s="51">
        <v>669</v>
      </c>
      <c r="F544" s="51">
        <f>D544-E544</f>
        <v>55</v>
      </c>
    </row>
    <row r="545" spans="1:6" s="20" customFormat="1" ht="24">
      <c r="A545" s="253" t="s">
        <v>109</v>
      </c>
      <c r="B545" s="250" t="s">
        <v>256</v>
      </c>
      <c r="C545" s="303"/>
      <c r="D545" s="321">
        <f>D546+D548</f>
        <v>2419.1</v>
      </c>
      <c r="E545" s="321">
        <f>E546+E548</f>
        <v>2419.1</v>
      </c>
      <c r="F545" s="321">
        <f>F546+F548</f>
        <v>0</v>
      </c>
    </row>
    <row r="546" spans="1:6" s="20" customFormat="1" ht="11.25" customHeight="1">
      <c r="A546" s="252" t="s">
        <v>264</v>
      </c>
      <c r="B546" s="250" t="s">
        <v>256</v>
      </c>
      <c r="C546" s="251" t="s">
        <v>216</v>
      </c>
      <c r="D546" s="51">
        <f>D547</f>
        <v>2399.7</v>
      </c>
      <c r="E546" s="51">
        <f>E547</f>
        <v>2399.7</v>
      </c>
      <c r="F546" s="51">
        <f>F547</f>
        <v>0</v>
      </c>
    </row>
    <row r="547" spans="1:6" s="20" customFormat="1" ht="12.75" customHeight="1">
      <c r="A547" s="252" t="s">
        <v>217</v>
      </c>
      <c r="B547" s="250" t="s">
        <v>256</v>
      </c>
      <c r="C547" s="251" t="s">
        <v>215</v>
      </c>
      <c r="D547" s="51">
        <f>1239.7+1000-40+100+100</f>
        <v>2399.7</v>
      </c>
      <c r="E547" s="51">
        <f>1239.7+1000-40+100+100</f>
        <v>2399.7</v>
      </c>
      <c r="F547" s="51">
        <f>D547-E547</f>
        <v>0</v>
      </c>
    </row>
    <row r="548" spans="1:6" s="20" customFormat="1" ht="11.25" customHeight="1">
      <c r="A548" s="252" t="s">
        <v>107</v>
      </c>
      <c r="B548" s="250" t="s">
        <v>256</v>
      </c>
      <c r="C548" s="251" t="s">
        <v>100</v>
      </c>
      <c r="D548" s="51">
        <f>D550+D549</f>
        <v>19.4</v>
      </c>
      <c r="E548" s="51">
        <f>E550+E549</f>
        <v>19.4</v>
      </c>
      <c r="F548" s="51">
        <f>F550+F549</f>
        <v>0</v>
      </c>
    </row>
    <row r="549" spans="1:6" s="20" customFormat="1" ht="12.75" customHeight="1">
      <c r="A549" s="252" t="s">
        <v>351</v>
      </c>
      <c r="B549" s="250" t="s">
        <v>256</v>
      </c>
      <c r="C549" s="251" t="s">
        <v>607</v>
      </c>
      <c r="D549" s="51">
        <v>7.7</v>
      </c>
      <c r="E549" s="51">
        <v>7.7</v>
      </c>
      <c r="F549" s="51">
        <f>D549-E549</f>
        <v>0</v>
      </c>
    </row>
    <row r="550" spans="1:6" s="20" customFormat="1" ht="12.75" customHeight="1">
      <c r="A550" s="252" t="s">
        <v>242</v>
      </c>
      <c r="B550" s="250" t="s">
        <v>256</v>
      </c>
      <c r="C550" s="251" t="s">
        <v>243</v>
      </c>
      <c r="D550" s="51">
        <v>11.7</v>
      </c>
      <c r="E550" s="51">
        <v>11.7</v>
      </c>
      <c r="F550" s="51">
        <f>D550-E550</f>
        <v>0</v>
      </c>
    </row>
    <row r="551" spans="1:6" s="20" customFormat="1" ht="17.25" customHeight="1">
      <c r="A551" s="253" t="s">
        <v>288</v>
      </c>
      <c r="B551" s="250" t="s">
        <v>313</v>
      </c>
      <c r="C551" s="251"/>
      <c r="D551" s="51">
        <f aca="true" t="shared" si="107" ref="D551:F552">D552</f>
        <v>570</v>
      </c>
      <c r="E551" s="51">
        <f t="shared" si="107"/>
        <v>570</v>
      </c>
      <c r="F551" s="51">
        <f t="shared" si="107"/>
        <v>0</v>
      </c>
    </row>
    <row r="552" spans="1:6" s="20" customFormat="1" ht="12" customHeight="1">
      <c r="A552" s="252" t="s">
        <v>264</v>
      </c>
      <c r="B552" s="250" t="s">
        <v>313</v>
      </c>
      <c r="C552" s="251" t="s">
        <v>216</v>
      </c>
      <c r="D552" s="51">
        <f t="shared" si="107"/>
        <v>570</v>
      </c>
      <c r="E552" s="51">
        <f t="shared" si="107"/>
        <v>570</v>
      </c>
      <c r="F552" s="51">
        <f t="shared" si="107"/>
        <v>0</v>
      </c>
    </row>
    <row r="553" spans="1:6" s="20" customFormat="1" ht="12.75" customHeight="1">
      <c r="A553" s="252" t="s">
        <v>217</v>
      </c>
      <c r="B553" s="250" t="s">
        <v>313</v>
      </c>
      <c r="C553" s="251" t="s">
        <v>215</v>
      </c>
      <c r="D553" s="51">
        <f>390+180</f>
        <v>570</v>
      </c>
      <c r="E553" s="51">
        <f>390+180</f>
        <v>570</v>
      </c>
      <c r="F553" s="51">
        <f>D553-E553</f>
        <v>0</v>
      </c>
    </row>
    <row r="554" spans="1:6" s="20" customFormat="1" ht="12.75">
      <c r="A554" s="253" t="s">
        <v>131</v>
      </c>
      <c r="B554" s="304" t="s">
        <v>23</v>
      </c>
      <c r="C554" s="303"/>
      <c r="D554" s="321">
        <f aca="true" t="shared" si="108" ref="D554:F555">D555</f>
        <v>192</v>
      </c>
      <c r="E554" s="321">
        <f t="shared" si="108"/>
        <v>192</v>
      </c>
      <c r="F554" s="321">
        <f t="shared" si="108"/>
        <v>0</v>
      </c>
    </row>
    <row r="555" spans="1:6" s="20" customFormat="1" ht="12.75" customHeight="1">
      <c r="A555" s="252" t="s">
        <v>264</v>
      </c>
      <c r="B555" s="250" t="s">
        <v>23</v>
      </c>
      <c r="C555" s="251" t="s">
        <v>216</v>
      </c>
      <c r="D555" s="51">
        <f t="shared" si="108"/>
        <v>192</v>
      </c>
      <c r="E555" s="51">
        <f t="shared" si="108"/>
        <v>192</v>
      </c>
      <c r="F555" s="51">
        <f t="shared" si="108"/>
        <v>0</v>
      </c>
    </row>
    <row r="556" spans="1:6" s="20" customFormat="1" ht="16.5" customHeight="1">
      <c r="A556" s="252" t="s">
        <v>217</v>
      </c>
      <c r="B556" s="250" t="s">
        <v>23</v>
      </c>
      <c r="C556" s="251" t="s">
        <v>215</v>
      </c>
      <c r="D556" s="51">
        <f>230-38</f>
        <v>192</v>
      </c>
      <c r="E556" s="51">
        <f>230-38</f>
        <v>192</v>
      </c>
      <c r="F556" s="51">
        <f>D556-E556</f>
        <v>0</v>
      </c>
    </row>
    <row r="557" spans="1:6" s="20" customFormat="1" ht="12.75">
      <c r="A557" s="253" t="s">
        <v>132</v>
      </c>
      <c r="B557" s="259" t="s">
        <v>24</v>
      </c>
      <c r="C557" s="251"/>
      <c r="D557" s="51">
        <f>D558+D560</f>
        <v>868</v>
      </c>
      <c r="E557" s="51">
        <f>E558+E560</f>
        <v>868</v>
      </c>
      <c r="F557" s="51">
        <f>F558+F560</f>
        <v>0</v>
      </c>
    </row>
    <row r="558" spans="1:6" s="20" customFormat="1" ht="13.5" customHeight="1">
      <c r="A558" s="252" t="s">
        <v>264</v>
      </c>
      <c r="B558" s="259" t="s">
        <v>24</v>
      </c>
      <c r="C558" s="251" t="s">
        <v>216</v>
      </c>
      <c r="D558" s="51">
        <f aca="true" t="shared" si="109" ref="D558:F560">D559</f>
        <v>844.9</v>
      </c>
      <c r="E558" s="51">
        <f t="shared" si="109"/>
        <v>844.9</v>
      </c>
      <c r="F558" s="51">
        <f t="shared" si="109"/>
        <v>0</v>
      </c>
    </row>
    <row r="559" spans="1:6" s="20" customFormat="1" ht="15.75" customHeight="1">
      <c r="A559" s="252" t="s">
        <v>217</v>
      </c>
      <c r="B559" s="259" t="s">
        <v>24</v>
      </c>
      <c r="C559" s="251" t="s">
        <v>215</v>
      </c>
      <c r="D559" s="51">
        <v>844.9</v>
      </c>
      <c r="E559" s="51">
        <v>844.9</v>
      </c>
      <c r="F559" s="51">
        <f>D559-E559</f>
        <v>0</v>
      </c>
    </row>
    <row r="560" spans="1:6" s="20" customFormat="1" ht="13.5" customHeight="1">
      <c r="A560" s="252" t="s">
        <v>107</v>
      </c>
      <c r="B560" s="259" t="s">
        <v>24</v>
      </c>
      <c r="C560" s="251" t="s">
        <v>100</v>
      </c>
      <c r="D560" s="51">
        <f t="shared" si="109"/>
        <v>23.1</v>
      </c>
      <c r="E560" s="51">
        <f t="shared" si="109"/>
        <v>23.1</v>
      </c>
      <c r="F560" s="51">
        <f t="shared" si="109"/>
        <v>0</v>
      </c>
    </row>
    <row r="561" spans="1:6" s="20" customFormat="1" ht="15.75" customHeight="1">
      <c r="A561" s="252" t="s">
        <v>351</v>
      </c>
      <c r="B561" s="259" t="s">
        <v>24</v>
      </c>
      <c r="C561" s="251" t="s">
        <v>607</v>
      </c>
      <c r="D561" s="51">
        <v>23.1</v>
      </c>
      <c r="E561" s="51">
        <v>23.1</v>
      </c>
      <c r="F561" s="51">
        <f>D561-E561</f>
        <v>0</v>
      </c>
    </row>
    <row r="562" spans="1:6" s="20" customFormat="1" ht="12.75">
      <c r="A562" s="170" t="s">
        <v>3</v>
      </c>
      <c r="B562" s="250" t="s">
        <v>10</v>
      </c>
      <c r="C562" s="251"/>
      <c r="D562" s="51">
        <f aca="true" t="shared" si="110" ref="D562:F563">D563</f>
        <v>1558.2</v>
      </c>
      <c r="E562" s="51">
        <f t="shared" si="110"/>
        <v>1558.2</v>
      </c>
      <c r="F562" s="51">
        <f t="shared" si="110"/>
        <v>0</v>
      </c>
    </row>
    <row r="563" spans="1:6" s="20" customFormat="1" ht="16.5" customHeight="1">
      <c r="A563" s="252" t="s">
        <v>264</v>
      </c>
      <c r="B563" s="250" t="s">
        <v>10</v>
      </c>
      <c r="C563" s="251" t="s">
        <v>216</v>
      </c>
      <c r="D563" s="51">
        <f t="shared" si="110"/>
        <v>1558.2</v>
      </c>
      <c r="E563" s="51">
        <f t="shared" si="110"/>
        <v>1558.2</v>
      </c>
      <c r="F563" s="51">
        <f t="shared" si="110"/>
        <v>0</v>
      </c>
    </row>
    <row r="564" spans="1:6" s="20" customFormat="1" ht="16.5" customHeight="1">
      <c r="A564" s="252" t="s">
        <v>217</v>
      </c>
      <c r="B564" s="250" t="s">
        <v>10</v>
      </c>
      <c r="C564" s="251" t="s">
        <v>215</v>
      </c>
      <c r="D564" s="51">
        <v>1558.2</v>
      </c>
      <c r="E564" s="51">
        <v>1558.2</v>
      </c>
      <c r="F564" s="51">
        <f>D564-E564</f>
        <v>0</v>
      </c>
    </row>
    <row r="565" spans="1:6" s="20" customFormat="1" ht="36">
      <c r="A565" s="170" t="s">
        <v>528</v>
      </c>
      <c r="B565" s="250" t="s">
        <v>527</v>
      </c>
      <c r="C565" s="251"/>
      <c r="D565" s="51">
        <f aca="true" t="shared" si="111" ref="D565:F566">D566</f>
        <v>4894.6</v>
      </c>
      <c r="E565" s="51">
        <f t="shared" si="111"/>
        <v>4894.6</v>
      </c>
      <c r="F565" s="51">
        <f t="shared" si="111"/>
        <v>0</v>
      </c>
    </row>
    <row r="566" spans="1:6" s="20" customFormat="1" ht="12.75" customHeight="1">
      <c r="A566" s="169" t="s">
        <v>265</v>
      </c>
      <c r="B566" s="250" t="s">
        <v>527</v>
      </c>
      <c r="C566" s="251" t="s">
        <v>229</v>
      </c>
      <c r="D566" s="51">
        <f t="shared" si="111"/>
        <v>4894.6</v>
      </c>
      <c r="E566" s="51">
        <f t="shared" si="111"/>
        <v>4894.6</v>
      </c>
      <c r="F566" s="51">
        <f t="shared" si="111"/>
        <v>0</v>
      </c>
    </row>
    <row r="567" spans="1:6" s="20" customFormat="1" ht="12.75" customHeight="1">
      <c r="A567" s="284" t="s">
        <v>207</v>
      </c>
      <c r="B567" s="250" t="s">
        <v>527</v>
      </c>
      <c r="C567" s="251" t="s">
        <v>230</v>
      </c>
      <c r="D567" s="51">
        <f>4511.3+383.3</f>
        <v>4894.6</v>
      </c>
      <c r="E567" s="51">
        <f>4511.3+383.3</f>
        <v>4894.6</v>
      </c>
      <c r="F567" s="51">
        <f>D567-E567</f>
        <v>0</v>
      </c>
    </row>
    <row r="568" spans="1:6" s="20" customFormat="1" ht="23.25" customHeight="1">
      <c r="A568" s="170" t="s">
        <v>529</v>
      </c>
      <c r="B568" s="250" t="s">
        <v>530</v>
      </c>
      <c r="C568" s="251"/>
      <c r="D568" s="51">
        <f aca="true" t="shared" si="112" ref="D568:F569">D569</f>
        <v>2328.2</v>
      </c>
      <c r="E568" s="51">
        <f t="shared" si="112"/>
        <v>2328.2</v>
      </c>
      <c r="F568" s="51">
        <f t="shared" si="112"/>
        <v>0</v>
      </c>
    </row>
    <row r="569" spans="1:6" s="20" customFormat="1" ht="12.75" customHeight="1">
      <c r="A569" s="169" t="s">
        <v>265</v>
      </c>
      <c r="B569" s="250" t="s">
        <v>530</v>
      </c>
      <c r="C569" s="251" t="s">
        <v>229</v>
      </c>
      <c r="D569" s="51">
        <f t="shared" si="112"/>
        <v>2328.2</v>
      </c>
      <c r="E569" s="51">
        <f t="shared" si="112"/>
        <v>2328.2</v>
      </c>
      <c r="F569" s="51">
        <f t="shared" si="112"/>
        <v>0</v>
      </c>
    </row>
    <row r="570" spans="1:6" s="20" customFormat="1" ht="12.75" customHeight="1">
      <c r="A570" s="284" t="s">
        <v>207</v>
      </c>
      <c r="B570" s="250" t="s">
        <v>530</v>
      </c>
      <c r="C570" s="251" t="s">
        <v>230</v>
      </c>
      <c r="D570" s="51">
        <v>2328.2</v>
      </c>
      <c r="E570" s="51">
        <v>2328.2</v>
      </c>
      <c r="F570" s="51">
        <f>D570-E570</f>
        <v>0</v>
      </c>
    </row>
    <row r="571" spans="1:6" s="20" customFormat="1" ht="15" customHeight="1">
      <c r="A571" s="170" t="s">
        <v>551</v>
      </c>
      <c r="B571" s="250" t="s">
        <v>550</v>
      </c>
      <c r="C571" s="251"/>
      <c r="D571" s="51">
        <f aca="true" t="shared" si="113" ref="D571:F572">D572</f>
        <v>2356</v>
      </c>
      <c r="E571" s="51">
        <f t="shared" si="113"/>
        <v>2356</v>
      </c>
      <c r="F571" s="51">
        <f t="shared" si="113"/>
        <v>0</v>
      </c>
    </row>
    <row r="572" spans="1:6" s="20" customFormat="1" ht="12.75" customHeight="1">
      <c r="A572" s="252" t="s">
        <v>264</v>
      </c>
      <c r="B572" s="250" t="s">
        <v>550</v>
      </c>
      <c r="C572" s="251" t="s">
        <v>216</v>
      </c>
      <c r="D572" s="51">
        <f t="shared" si="113"/>
        <v>2356</v>
      </c>
      <c r="E572" s="51">
        <f t="shared" si="113"/>
        <v>2356</v>
      </c>
      <c r="F572" s="51">
        <f t="shared" si="113"/>
        <v>0</v>
      </c>
    </row>
    <row r="573" spans="1:6" s="20" customFormat="1" ht="12.75" customHeight="1">
      <c r="A573" s="252" t="s">
        <v>217</v>
      </c>
      <c r="B573" s="250" t="s">
        <v>550</v>
      </c>
      <c r="C573" s="251" t="s">
        <v>215</v>
      </c>
      <c r="D573" s="51">
        <v>2356</v>
      </c>
      <c r="E573" s="51">
        <v>2356</v>
      </c>
      <c r="F573" s="51">
        <f>D573-E573</f>
        <v>0</v>
      </c>
    </row>
    <row r="574" spans="1:6" s="20" customFormat="1" ht="24">
      <c r="A574" s="247" t="s">
        <v>378</v>
      </c>
      <c r="B574" s="248" t="s">
        <v>67</v>
      </c>
      <c r="C574" s="249"/>
      <c r="D574" s="50">
        <f>D575+D587+D591</f>
        <v>75564</v>
      </c>
      <c r="E574" s="50">
        <f>E575+E587+E591</f>
        <v>75564</v>
      </c>
      <c r="F574" s="50">
        <f>F575+F587+F591</f>
        <v>0</v>
      </c>
    </row>
    <row r="575" spans="1:6" s="20" customFormat="1" ht="24">
      <c r="A575" s="270" t="s">
        <v>503</v>
      </c>
      <c r="B575" s="271" t="s">
        <v>68</v>
      </c>
      <c r="C575" s="272"/>
      <c r="D575" s="50">
        <f>D576+D581+D584</f>
        <v>11147</v>
      </c>
      <c r="E575" s="50">
        <f>E576+E581+E584</f>
        <v>11147</v>
      </c>
      <c r="F575" s="50">
        <f>F576+F581+F584</f>
        <v>0</v>
      </c>
    </row>
    <row r="576" spans="1:6" s="20" customFormat="1" ht="12.75">
      <c r="A576" s="253" t="s">
        <v>138</v>
      </c>
      <c r="B576" s="305" t="s">
        <v>69</v>
      </c>
      <c r="C576" s="251"/>
      <c r="D576" s="51">
        <f>D577+D579</f>
        <v>10050.8</v>
      </c>
      <c r="E576" s="51">
        <f>E577+E579</f>
        <v>10050.8</v>
      </c>
      <c r="F576" s="51">
        <f>F577+F579</f>
        <v>0</v>
      </c>
    </row>
    <row r="577" spans="1:6" s="20" customFormat="1" ht="36" customHeight="1">
      <c r="A577" s="252" t="s">
        <v>139</v>
      </c>
      <c r="B577" s="305" t="s">
        <v>69</v>
      </c>
      <c r="C577" s="251" t="s">
        <v>228</v>
      </c>
      <c r="D577" s="51">
        <f>D578</f>
        <v>9289.3</v>
      </c>
      <c r="E577" s="51">
        <f>E578</f>
        <v>9289.3</v>
      </c>
      <c r="F577" s="51">
        <f>F578</f>
        <v>0</v>
      </c>
    </row>
    <row r="578" spans="1:6" s="20" customFormat="1" ht="12.75" customHeight="1">
      <c r="A578" s="169" t="s">
        <v>223</v>
      </c>
      <c r="B578" s="305" t="s">
        <v>69</v>
      </c>
      <c r="C578" s="251" t="s">
        <v>224</v>
      </c>
      <c r="D578" s="51">
        <f>8488+490.3+311</f>
        <v>9289.3</v>
      </c>
      <c r="E578" s="51">
        <f>8488+490.3+311</f>
        <v>9289.3</v>
      </c>
      <c r="F578" s="51">
        <f>D578-E578</f>
        <v>0</v>
      </c>
    </row>
    <row r="579" spans="1:6" s="20" customFormat="1" ht="16.5" customHeight="1">
      <c r="A579" s="252" t="s">
        <v>264</v>
      </c>
      <c r="B579" s="305" t="s">
        <v>69</v>
      </c>
      <c r="C579" s="251" t="s">
        <v>216</v>
      </c>
      <c r="D579" s="51">
        <f>D580</f>
        <v>761.5</v>
      </c>
      <c r="E579" s="51">
        <f>E580</f>
        <v>761.5</v>
      </c>
      <c r="F579" s="51">
        <f>F580</f>
        <v>0</v>
      </c>
    </row>
    <row r="580" spans="1:6" s="20" customFormat="1" ht="15" customHeight="1">
      <c r="A580" s="252" t="s">
        <v>217</v>
      </c>
      <c r="B580" s="305" t="s">
        <v>69</v>
      </c>
      <c r="C580" s="251" t="s">
        <v>215</v>
      </c>
      <c r="D580" s="51">
        <v>761.5</v>
      </c>
      <c r="E580" s="51">
        <v>761.5</v>
      </c>
      <c r="F580" s="51">
        <f>D580-E580</f>
        <v>0</v>
      </c>
    </row>
    <row r="581" spans="1:6" s="20" customFormat="1" ht="24">
      <c r="A581" s="253" t="s">
        <v>118</v>
      </c>
      <c r="B581" s="250" t="s">
        <v>73</v>
      </c>
      <c r="C581" s="251"/>
      <c r="D581" s="51">
        <f aca="true" t="shared" si="114" ref="D581:F582">D582</f>
        <v>921.2</v>
      </c>
      <c r="E581" s="51">
        <f t="shared" si="114"/>
        <v>921.2</v>
      </c>
      <c r="F581" s="51">
        <f t="shared" si="114"/>
        <v>0</v>
      </c>
    </row>
    <row r="582" spans="1:6" s="20" customFormat="1" ht="12.75" customHeight="1">
      <c r="A582" s="253" t="s">
        <v>203</v>
      </c>
      <c r="B582" s="250" t="s">
        <v>73</v>
      </c>
      <c r="C582" s="251" t="s">
        <v>204</v>
      </c>
      <c r="D582" s="51">
        <f t="shared" si="114"/>
        <v>921.2</v>
      </c>
      <c r="E582" s="51">
        <f t="shared" si="114"/>
        <v>921.2</v>
      </c>
      <c r="F582" s="51">
        <f t="shared" si="114"/>
        <v>0</v>
      </c>
    </row>
    <row r="583" spans="1:6" s="20" customFormat="1" ht="12.75" customHeight="1">
      <c r="A583" s="253" t="s">
        <v>106</v>
      </c>
      <c r="B583" s="250" t="s">
        <v>73</v>
      </c>
      <c r="C583" s="251" t="s">
        <v>133</v>
      </c>
      <c r="D583" s="51">
        <f>862.5+58.7</f>
        <v>921.2</v>
      </c>
      <c r="E583" s="51">
        <f>862.5+58.7</f>
        <v>921.2</v>
      </c>
      <c r="F583" s="51">
        <f>D583-E583</f>
        <v>0</v>
      </c>
    </row>
    <row r="584" spans="1:6" s="20" customFormat="1" ht="13.5" customHeight="1">
      <c r="A584" s="253" t="s">
        <v>116</v>
      </c>
      <c r="B584" s="250" t="s">
        <v>449</v>
      </c>
      <c r="C584" s="306"/>
      <c r="D584" s="51">
        <f aca="true" t="shared" si="115" ref="D584:F585">D585</f>
        <v>175</v>
      </c>
      <c r="E584" s="51">
        <f t="shared" si="115"/>
        <v>175</v>
      </c>
      <c r="F584" s="51">
        <f t="shared" si="115"/>
        <v>0</v>
      </c>
    </row>
    <row r="585" spans="1:6" s="20" customFormat="1" ht="12.75" customHeight="1">
      <c r="A585" s="253" t="s">
        <v>203</v>
      </c>
      <c r="B585" s="250" t="s">
        <v>449</v>
      </c>
      <c r="C585" s="307">
        <v>500</v>
      </c>
      <c r="D585" s="51">
        <f t="shared" si="115"/>
        <v>175</v>
      </c>
      <c r="E585" s="51">
        <f t="shared" si="115"/>
        <v>175</v>
      </c>
      <c r="F585" s="51">
        <f t="shared" si="115"/>
        <v>0</v>
      </c>
    </row>
    <row r="586" spans="1:6" s="20" customFormat="1" ht="12.75" customHeight="1">
      <c r="A586" s="253" t="s">
        <v>106</v>
      </c>
      <c r="B586" s="250" t="s">
        <v>449</v>
      </c>
      <c r="C586" s="307">
        <v>530</v>
      </c>
      <c r="D586" s="51">
        <f>87.5*2</f>
        <v>175</v>
      </c>
      <c r="E586" s="51">
        <f>87.5*2</f>
        <v>175</v>
      </c>
      <c r="F586" s="51">
        <f>D586-E586</f>
        <v>0</v>
      </c>
    </row>
    <row r="587" spans="1:6" s="20" customFormat="1" ht="12.75">
      <c r="A587" s="270" t="s">
        <v>395</v>
      </c>
      <c r="B587" s="271" t="s">
        <v>66</v>
      </c>
      <c r="C587" s="272"/>
      <c r="D587" s="50">
        <f aca="true" t="shared" si="116" ref="D587:F588">D588</f>
        <v>3708</v>
      </c>
      <c r="E587" s="50">
        <f t="shared" si="116"/>
        <v>3708</v>
      </c>
      <c r="F587" s="50">
        <f t="shared" si="116"/>
        <v>0</v>
      </c>
    </row>
    <row r="588" spans="1:6" s="32" customFormat="1" ht="12.75">
      <c r="A588" s="253" t="s">
        <v>120</v>
      </c>
      <c r="B588" s="250" t="s">
        <v>65</v>
      </c>
      <c r="C588" s="251"/>
      <c r="D588" s="51">
        <f t="shared" si="116"/>
        <v>3708</v>
      </c>
      <c r="E588" s="51">
        <f t="shared" si="116"/>
        <v>3708</v>
      </c>
      <c r="F588" s="51">
        <f t="shared" si="116"/>
        <v>0</v>
      </c>
    </row>
    <row r="589" spans="1:6" s="32" customFormat="1" ht="15.75" customHeight="1">
      <c r="A589" s="253" t="s">
        <v>134</v>
      </c>
      <c r="B589" s="250" t="s">
        <v>65</v>
      </c>
      <c r="C589" s="251" t="s">
        <v>136</v>
      </c>
      <c r="D589" s="51">
        <f>SUM(D590)</f>
        <v>3708</v>
      </c>
      <c r="E589" s="51">
        <f>SUM(E590)</f>
        <v>3708</v>
      </c>
      <c r="F589" s="51">
        <f>SUM(F590)</f>
        <v>0</v>
      </c>
    </row>
    <row r="590" spans="1:6" s="20" customFormat="1" ht="12.75" customHeight="1">
      <c r="A590" s="253" t="s">
        <v>135</v>
      </c>
      <c r="B590" s="250" t="s">
        <v>65</v>
      </c>
      <c r="C590" s="251" t="s">
        <v>137</v>
      </c>
      <c r="D590" s="51">
        <v>3708</v>
      </c>
      <c r="E590" s="51">
        <v>3708</v>
      </c>
      <c r="F590" s="51">
        <f>D590-E590</f>
        <v>0</v>
      </c>
    </row>
    <row r="591" spans="1:6" s="20" customFormat="1" ht="24">
      <c r="A591" s="308" t="s">
        <v>352</v>
      </c>
      <c r="B591" s="271" t="s">
        <v>39</v>
      </c>
      <c r="C591" s="272"/>
      <c r="D591" s="50">
        <f>D592+D595+D598+D601</f>
        <v>60709</v>
      </c>
      <c r="E591" s="50">
        <f>E592+E595+E598+E601</f>
        <v>60709</v>
      </c>
      <c r="F591" s="50">
        <f>F592+F595+F598+F601</f>
        <v>0</v>
      </c>
    </row>
    <row r="592" spans="1:6" s="20" customFormat="1" ht="12.75">
      <c r="A592" s="253" t="s">
        <v>329</v>
      </c>
      <c r="B592" s="250" t="s">
        <v>285</v>
      </c>
      <c r="C592" s="251"/>
      <c r="D592" s="51">
        <f>D593</f>
        <v>33678.7</v>
      </c>
      <c r="E592" s="51">
        <f>E593</f>
        <v>33678.7</v>
      </c>
      <c r="F592" s="51">
        <f>F593</f>
        <v>0</v>
      </c>
    </row>
    <row r="593" spans="1:6" s="20" customFormat="1" ht="12.75" customHeight="1">
      <c r="A593" s="253" t="s">
        <v>203</v>
      </c>
      <c r="B593" s="250" t="s">
        <v>285</v>
      </c>
      <c r="C593" s="251" t="s">
        <v>204</v>
      </c>
      <c r="D593" s="51">
        <f>SUM(D594:D594)</f>
        <v>33678.7</v>
      </c>
      <c r="E593" s="51">
        <f>SUM(E594:E594)</f>
        <v>33678.7</v>
      </c>
      <c r="F593" s="51">
        <f>SUM(F594:F594)</f>
        <v>0</v>
      </c>
    </row>
    <row r="594" spans="1:6" s="20" customFormat="1" ht="12.75" customHeight="1">
      <c r="A594" s="253" t="s">
        <v>104</v>
      </c>
      <c r="B594" s="250" t="s">
        <v>285</v>
      </c>
      <c r="C594" s="251" t="s">
        <v>105</v>
      </c>
      <c r="D594" s="51">
        <v>33678.7</v>
      </c>
      <c r="E594" s="51">
        <v>33678.7</v>
      </c>
      <c r="F594" s="51">
        <f>D594-E594</f>
        <v>0</v>
      </c>
    </row>
    <row r="595" spans="1:6" s="20" customFormat="1" ht="12.75">
      <c r="A595" s="253" t="s">
        <v>122</v>
      </c>
      <c r="B595" s="250" t="s">
        <v>40</v>
      </c>
      <c r="C595" s="251"/>
      <c r="D595" s="51">
        <f>D596</f>
        <v>19336.100000000002</v>
      </c>
      <c r="E595" s="51">
        <f>E596</f>
        <v>19336.100000000002</v>
      </c>
      <c r="F595" s="51">
        <f>F596</f>
        <v>0</v>
      </c>
    </row>
    <row r="596" spans="1:6" s="20" customFormat="1" ht="12.75" customHeight="1">
      <c r="A596" s="253" t="s">
        <v>203</v>
      </c>
      <c r="B596" s="250" t="s">
        <v>40</v>
      </c>
      <c r="C596" s="251" t="s">
        <v>204</v>
      </c>
      <c r="D596" s="51">
        <f>SUM(D597:D597)</f>
        <v>19336.100000000002</v>
      </c>
      <c r="E596" s="51">
        <f>SUM(E597:E597)</f>
        <v>19336.100000000002</v>
      </c>
      <c r="F596" s="51">
        <f>SUM(F597:F597)</f>
        <v>0</v>
      </c>
    </row>
    <row r="597" spans="1:6" s="20" customFormat="1" ht="12.75" customHeight="1">
      <c r="A597" s="253" t="s">
        <v>219</v>
      </c>
      <c r="B597" s="250" t="s">
        <v>40</v>
      </c>
      <c r="C597" s="251" t="s">
        <v>218</v>
      </c>
      <c r="D597" s="51">
        <f>17780.9+294.2+575.3+535.7+150</f>
        <v>19336.100000000002</v>
      </c>
      <c r="E597" s="51">
        <f>17780.9+294.2+575.3+535.7+150</f>
        <v>19336.100000000002</v>
      </c>
      <c r="F597" s="51">
        <f>D597-E597</f>
        <v>0</v>
      </c>
    </row>
    <row r="598" spans="1:6" s="20" customFormat="1" ht="12.75" customHeight="1">
      <c r="A598" s="253" t="s">
        <v>526</v>
      </c>
      <c r="B598" s="250" t="s">
        <v>12</v>
      </c>
      <c r="C598" s="251"/>
      <c r="D598" s="51">
        <f>D599</f>
        <v>7089</v>
      </c>
      <c r="E598" s="51">
        <f>E599</f>
        <v>7089</v>
      </c>
      <c r="F598" s="51">
        <f>F599</f>
        <v>0</v>
      </c>
    </row>
    <row r="599" spans="1:6" s="20" customFormat="1" ht="12.75" customHeight="1">
      <c r="A599" s="253" t="s">
        <v>203</v>
      </c>
      <c r="B599" s="250" t="s">
        <v>12</v>
      </c>
      <c r="C599" s="251" t="s">
        <v>204</v>
      </c>
      <c r="D599" s="51">
        <f>SUM(D600:D600)</f>
        <v>7089</v>
      </c>
      <c r="E599" s="51">
        <f>SUM(E600:E600)</f>
        <v>7089</v>
      </c>
      <c r="F599" s="51">
        <f>SUM(F600:F600)</f>
        <v>0</v>
      </c>
    </row>
    <row r="600" spans="1:6" s="20" customFormat="1" ht="12.75" customHeight="1">
      <c r="A600" s="253" t="s">
        <v>104</v>
      </c>
      <c r="B600" s="250" t="s">
        <v>12</v>
      </c>
      <c r="C600" s="251" t="s">
        <v>105</v>
      </c>
      <c r="D600" s="51">
        <v>7089</v>
      </c>
      <c r="E600" s="51">
        <v>7089</v>
      </c>
      <c r="F600" s="51">
        <f>D600-E600</f>
        <v>0</v>
      </c>
    </row>
    <row r="601" spans="1:6" s="20" customFormat="1" ht="12.75" customHeight="1">
      <c r="A601" s="253" t="s">
        <v>680</v>
      </c>
      <c r="B601" s="250" t="s">
        <v>682</v>
      </c>
      <c r="C601" s="251"/>
      <c r="D601" s="51">
        <f>D602</f>
        <v>605.2</v>
      </c>
      <c r="E601" s="51">
        <f>E602</f>
        <v>605.2</v>
      </c>
      <c r="F601" s="51">
        <f>F602</f>
        <v>0</v>
      </c>
    </row>
    <row r="602" spans="1:6" s="20" customFormat="1" ht="12.75" customHeight="1">
      <c r="A602" s="253" t="s">
        <v>203</v>
      </c>
      <c r="B602" s="250" t="s">
        <v>682</v>
      </c>
      <c r="C602" s="251" t="s">
        <v>204</v>
      </c>
      <c r="D602" s="51">
        <f>SUM(D603:D603)</f>
        <v>605.2</v>
      </c>
      <c r="E602" s="51">
        <f>SUM(E603:E603)</f>
        <v>605.2</v>
      </c>
      <c r="F602" s="51">
        <f>SUM(F603:F603)</f>
        <v>0</v>
      </c>
    </row>
    <row r="603" spans="1:6" s="20" customFormat="1" ht="12.75" customHeight="1">
      <c r="A603" s="253" t="s">
        <v>104</v>
      </c>
      <c r="B603" s="250" t="s">
        <v>682</v>
      </c>
      <c r="C603" s="251" t="s">
        <v>105</v>
      </c>
      <c r="D603" s="51">
        <v>605.2</v>
      </c>
      <c r="E603" s="51">
        <v>605.2</v>
      </c>
      <c r="F603" s="51">
        <f>D603-E603</f>
        <v>0</v>
      </c>
    </row>
    <row r="604" spans="1:6" s="20" customFormat="1" ht="24">
      <c r="A604" s="285" t="s">
        <v>424</v>
      </c>
      <c r="B604" s="248" t="s">
        <v>425</v>
      </c>
      <c r="C604" s="249"/>
      <c r="D604" s="50">
        <f>D605+D608+D611</f>
        <v>4174.9</v>
      </c>
      <c r="E604" s="50">
        <f>E605+E608+E611</f>
        <v>4174.9</v>
      </c>
      <c r="F604" s="50">
        <f>F605+F608+F611</f>
        <v>0</v>
      </c>
    </row>
    <row r="605" spans="1:6" s="20" customFormat="1" ht="24">
      <c r="A605" s="253" t="s">
        <v>111</v>
      </c>
      <c r="B605" s="250" t="s">
        <v>456</v>
      </c>
      <c r="C605" s="251"/>
      <c r="D605" s="51">
        <f aca="true" t="shared" si="117" ref="D605:F606">D606</f>
        <v>60</v>
      </c>
      <c r="E605" s="51">
        <f t="shared" si="117"/>
        <v>60</v>
      </c>
      <c r="F605" s="51">
        <f t="shared" si="117"/>
        <v>0</v>
      </c>
    </row>
    <row r="606" spans="1:6" s="20" customFormat="1" ht="15" customHeight="1">
      <c r="A606" s="252" t="s">
        <v>264</v>
      </c>
      <c r="B606" s="250" t="s">
        <v>456</v>
      </c>
      <c r="C606" s="251" t="s">
        <v>216</v>
      </c>
      <c r="D606" s="51">
        <f t="shared" si="117"/>
        <v>60</v>
      </c>
      <c r="E606" s="51">
        <f t="shared" si="117"/>
        <v>60</v>
      </c>
      <c r="F606" s="51">
        <f t="shared" si="117"/>
        <v>0</v>
      </c>
    </row>
    <row r="607" spans="1:6" s="20" customFormat="1" ht="17.25" customHeight="1">
      <c r="A607" s="252" t="s">
        <v>217</v>
      </c>
      <c r="B607" s="250" t="s">
        <v>456</v>
      </c>
      <c r="C607" s="251" t="s">
        <v>215</v>
      </c>
      <c r="D607" s="51">
        <v>60</v>
      </c>
      <c r="E607" s="51">
        <v>60</v>
      </c>
      <c r="F607" s="51">
        <f>D607-E607</f>
        <v>0</v>
      </c>
    </row>
    <row r="608" spans="1:6" s="20" customFormat="1" ht="24">
      <c r="A608" s="253" t="s">
        <v>427</v>
      </c>
      <c r="B608" s="250" t="s">
        <v>426</v>
      </c>
      <c r="C608" s="251"/>
      <c r="D608" s="51">
        <f aca="true" t="shared" si="118" ref="D608:F609">D609</f>
        <v>52</v>
      </c>
      <c r="E608" s="51">
        <f t="shared" si="118"/>
        <v>52</v>
      </c>
      <c r="F608" s="51">
        <f t="shared" si="118"/>
        <v>0</v>
      </c>
    </row>
    <row r="609" spans="1:6" s="20" customFormat="1" ht="12.75" customHeight="1">
      <c r="A609" s="169" t="s">
        <v>102</v>
      </c>
      <c r="B609" s="250" t="s">
        <v>426</v>
      </c>
      <c r="C609" s="251" t="s">
        <v>98</v>
      </c>
      <c r="D609" s="51">
        <f t="shared" si="118"/>
        <v>52</v>
      </c>
      <c r="E609" s="51">
        <f t="shared" si="118"/>
        <v>52</v>
      </c>
      <c r="F609" s="51">
        <f t="shared" si="118"/>
        <v>0</v>
      </c>
    </row>
    <row r="610" spans="1:6" s="20" customFormat="1" ht="15" customHeight="1">
      <c r="A610" s="253" t="s">
        <v>97</v>
      </c>
      <c r="B610" s="250" t="s">
        <v>426</v>
      </c>
      <c r="C610" s="251" t="s">
        <v>99</v>
      </c>
      <c r="D610" s="51">
        <v>52</v>
      </c>
      <c r="E610" s="51">
        <v>52</v>
      </c>
      <c r="F610" s="51">
        <f>D610-E610</f>
        <v>0</v>
      </c>
    </row>
    <row r="611" spans="1:6" s="20" customFormat="1" ht="24">
      <c r="A611" s="253" t="s">
        <v>144</v>
      </c>
      <c r="B611" s="250" t="s">
        <v>536</v>
      </c>
      <c r="C611" s="251"/>
      <c r="D611" s="51">
        <f>D612+D614</f>
        <v>4062.9</v>
      </c>
      <c r="E611" s="51">
        <f>E612+E614</f>
        <v>4062.9</v>
      </c>
      <c r="F611" s="51">
        <f>F612+F614</f>
        <v>0</v>
      </c>
    </row>
    <row r="612" spans="1:6" s="20" customFormat="1" ht="36" customHeight="1">
      <c r="A612" s="252" t="s">
        <v>139</v>
      </c>
      <c r="B612" s="250" t="s">
        <v>536</v>
      </c>
      <c r="C612" s="251" t="s">
        <v>228</v>
      </c>
      <c r="D612" s="51">
        <f>D613</f>
        <v>3463.33142</v>
      </c>
      <c r="E612" s="51">
        <f>E613</f>
        <v>3677.9</v>
      </c>
      <c r="F612" s="51">
        <f>F613</f>
        <v>-214.5685800000001</v>
      </c>
    </row>
    <row r="613" spans="1:6" s="20" customFormat="1" ht="15" customHeight="1">
      <c r="A613" s="169" t="s">
        <v>223</v>
      </c>
      <c r="B613" s="250" t="s">
        <v>536</v>
      </c>
      <c r="C613" s="251" t="s">
        <v>224</v>
      </c>
      <c r="D613" s="51">
        <f>3677.9-155.54728-12.0213-47</f>
        <v>3463.33142</v>
      </c>
      <c r="E613" s="51">
        <v>3677.9</v>
      </c>
      <c r="F613" s="51">
        <f>D613-E613</f>
        <v>-214.5685800000001</v>
      </c>
    </row>
    <row r="614" spans="1:6" s="20" customFormat="1" ht="12.75" customHeight="1">
      <c r="A614" s="252" t="s">
        <v>264</v>
      </c>
      <c r="B614" s="250" t="s">
        <v>536</v>
      </c>
      <c r="C614" s="251" t="s">
        <v>216</v>
      </c>
      <c r="D614" s="51">
        <f>D615</f>
        <v>599.56858</v>
      </c>
      <c r="E614" s="51">
        <f>E615</f>
        <v>385</v>
      </c>
      <c r="F614" s="51">
        <f>F615</f>
        <v>214.56858</v>
      </c>
    </row>
    <row r="615" spans="1:6" s="20" customFormat="1" ht="15" customHeight="1">
      <c r="A615" s="252" t="s">
        <v>217</v>
      </c>
      <c r="B615" s="250" t="s">
        <v>536</v>
      </c>
      <c r="C615" s="251" t="s">
        <v>215</v>
      </c>
      <c r="D615" s="51">
        <f>385+214.56858</f>
        <v>599.56858</v>
      </c>
      <c r="E615" s="51">
        <v>385</v>
      </c>
      <c r="F615" s="51">
        <f>D615-E615</f>
        <v>214.56858</v>
      </c>
    </row>
    <row r="616" spans="1:6" s="20" customFormat="1" ht="12.75">
      <c r="A616" s="285" t="s">
        <v>340</v>
      </c>
      <c r="B616" s="248" t="s">
        <v>25</v>
      </c>
      <c r="C616" s="249"/>
      <c r="D616" s="50">
        <f>D617+D626</f>
        <v>170131</v>
      </c>
      <c r="E616" s="50">
        <f>E617+E626</f>
        <v>170611</v>
      </c>
      <c r="F616" s="50">
        <f>F617+F626</f>
        <v>-480</v>
      </c>
    </row>
    <row r="617" spans="1:6" s="20" customFormat="1" ht="24">
      <c r="A617" s="308" t="s">
        <v>354</v>
      </c>
      <c r="B617" s="271" t="s">
        <v>341</v>
      </c>
      <c r="C617" s="272"/>
      <c r="D617" s="50">
        <f>D618+D623</f>
        <v>19459</v>
      </c>
      <c r="E617" s="50">
        <f>E618+E623</f>
        <v>19939</v>
      </c>
      <c r="F617" s="50">
        <f>F618+F623</f>
        <v>-480</v>
      </c>
    </row>
    <row r="618" spans="1:6" s="20" customFormat="1" ht="12.75">
      <c r="A618" s="253" t="s">
        <v>343</v>
      </c>
      <c r="B618" s="250" t="s">
        <v>342</v>
      </c>
      <c r="C618" s="251"/>
      <c r="D618" s="51">
        <f>D619+D621</f>
        <v>14521.4</v>
      </c>
      <c r="E618" s="51">
        <f>E619+E621</f>
        <v>15001.4</v>
      </c>
      <c r="F618" s="51">
        <f>F619+F621</f>
        <v>-480</v>
      </c>
    </row>
    <row r="619" spans="1:6" s="20" customFormat="1" ht="12.75" customHeight="1">
      <c r="A619" s="169" t="s">
        <v>102</v>
      </c>
      <c r="B619" s="250" t="s">
        <v>342</v>
      </c>
      <c r="C619" s="251" t="s">
        <v>98</v>
      </c>
      <c r="D619" s="51">
        <f>D620</f>
        <v>1024.9</v>
      </c>
      <c r="E619" s="51">
        <f>E620</f>
        <v>1024.9</v>
      </c>
      <c r="F619" s="51">
        <f>F620</f>
        <v>0</v>
      </c>
    </row>
    <row r="620" spans="1:6" s="20" customFormat="1" ht="12.75" customHeight="1">
      <c r="A620" s="253" t="s">
        <v>97</v>
      </c>
      <c r="B620" s="250" t="s">
        <v>342</v>
      </c>
      <c r="C620" s="251" t="s">
        <v>99</v>
      </c>
      <c r="D620" s="51">
        <f>220+785+232.9-213</f>
        <v>1024.9</v>
      </c>
      <c r="E620" s="51">
        <f>220+785+232.9-213</f>
        <v>1024.9</v>
      </c>
      <c r="F620" s="51">
        <f>D620-E620</f>
        <v>0</v>
      </c>
    </row>
    <row r="621" spans="1:6" s="20" customFormat="1" ht="12.75" customHeight="1">
      <c r="A621" s="169" t="s">
        <v>265</v>
      </c>
      <c r="B621" s="250" t="s">
        <v>342</v>
      </c>
      <c r="C621" s="251" t="s">
        <v>229</v>
      </c>
      <c r="D621" s="51">
        <f>D622</f>
        <v>13496.5</v>
      </c>
      <c r="E621" s="51">
        <f>E622</f>
        <v>13976.5</v>
      </c>
      <c r="F621" s="51">
        <f>F622</f>
        <v>-480</v>
      </c>
    </row>
    <row r="622" spans="1:6" s="36" customFormat="1" ht="12.75" customHeight="1">
      <c r="A622" s="284" t="s">
        <v>207</v>
      </c>
      <c r="B622" s="250" t="s">
        <v>342</v>
      </c>
      <c r="C622" s="251" t="s">
        <v>230</v>
      </c>
      <c r="D622" s="51">
        <f>13976.5-480</f>
        <v>13496.5</v>
      </c>
      <c r="E622" s="51">
        <v>13976.5</v>
      </c>
      <c r="F622" s="51">
        <f>D622-E622</f>
        <v>-480</v>
      </c>
    </row>
    <row r="623" spans="1:6" s="20" customFormat="1" ht="24">
      <c r="A623" s="253" t="s">
        <v>606</v>
      </c>
      <c r="B623" s="250" t="s">
        <v>610</v>
      </c>
      <c r="C623" s="251"/>
      <c r="D623" s="51">
        <f aca="true" t="shared" si="119" ref="D623:F624">D624</f>
        <v>4937.6</v>
      </c>
      <c r="E623" s="51">
        <f t="shared" si="119"/>
        <v>4937.6</v>
      </c>
      <c r="F623" s="51">
        <f t="shared" si="119"/>
        <v>0</v>
      </c>
    </row>
    <row r="624" spans="1:6" s="20" customFormat="1" ht="12.75" customHeight="1">
      <c r="A624" s="169" t="s">
        <v>265</v>
      </c>
      <c r="B624" s="250" t="s">
        <v>610</v>
      </c>
      <c r="C624" s="251" t="s">
        <v>229</v>
      </c>
      <c r="D624" s="51">
        <f t="shared" si="119"/>
        <v>4937.6</v>
      </c>
      <c r="E624" s="51">
        <f t="shared" si="119"/>
        <v>4937.6</v>
      </c>
      <c r="F624" s="51">
        <f t="shared" si="119"/>
        <v>0</v>
      </c>
    </row>
    <row r="625" spans="1:6" s="36" customFormat="1" ht="12.75" customHeight="1">
      <c r="A625" s="284" t="s">
        <v>207</v>
      </c>
      <c r="B625" s="250" t="s">
        <v>610</v>
      </c>
      <c r="C625" s="251" t="s">
        <v>230</v>
      </c>
      <c r="D625" s="51">
        <v>4937.6</v>
      </c>
      <c r="E625" s="51">
        <v>4937.6</v>
      </c>
      <c r="F625" s="51">
        <f>D625-E625</f>
        <v>0</v>
      </c>
    </row>
    <row r="626" spans="1:6" s="36" customFormat="1" ht="13.5" customHeight="1">
      <c r="A626" s="308" t="s">
        <v>355</v>
      </c>
      <c r="B626" s="271" t="s">
        <v>344</v>
      </c>
      <c r="C626" s="272"/>
      <c r="D626" s="50">
        <f>D630+D627</f>
        <v>150672</v>
      </c>
      <c r="E626" s="50">
        <f>E630</f>
        <v>150672</v>
      </c>
      <c r="F626" s="364">
        <f>F630+F627</f>
        <v>0</v>
      </c>
    </row>
    <row r="627" spans="1:6" s="36" customFormat="1" ht="51">
      <c r="A627" s="112" t="s">
        <v>702</v>
      </c>
      <c r="B627" s="292" t="s">
        <v>701</v>
      </c>
      <c r="C627" s="251"/>
      <c r="D627" s="51">
        <f aca="true" t="shared" si="120" ref="D627:F628">D628</f>
        <v>24005.9</v>
      </c>
      <c r="E627" s="51">
        <f t="shared" si="120"/>
        <v>0</v>
      </c>
      <c r="F627" s="51">
        <f t="shared" si="120"/>
        <v>24005.9</v>
      </c>
    </row>
    <row r="628" spans="1:6" s="36" customFormat="1" ht="12.75">
      <c r="A628" s="169" t="s">
        <v>265</v>
      </c>
      <c r="B628" s="292" t="s">
        <v>701</v>
      </c>
      <c r="C628" s="251" t="s">
        <v>229</v>
      </c>
      <c r="D628" s="51">
        <f t="shared" si="120"/>
        <v>24005.9</v>
      </c>
      <c r="E628" s="51">
        <f t="shared" si="120"/>
        <v>0</v>
      </c>
      <c r="F628" s="51">
        <f t="shared" si="120"/>
        <v>24005.9</v>
      </c>
    </row>
    <row r="629" spans="1:6" s="36" customFormat="1" ht="13.5" customHeight="1">
      <c r="A629" s="284" t="s">
        <v>207</v>
      </c>
      <c r="B629" s="292" t="s">
        <v>701</v>
      </c>
      <c r="C629" s="251" t="s">
        <v>230</v>
      </c>
      <c r="D629" s="51">
        <v>24005.9</v>
      </c>
      <c r="E629" s="51">
        <v>0</v>
      </c>
      <c r="F629" s="51">
        <f>D629-E629</f>
        <v>24005.9</v>
      </c>
    </row>
    <row r="630" spans="1:6" s="20" customFormat="1" ht="24">
      <c r="A630" s="253" t="s">
        <v>606</v>
      </c>
      <c r="B630" s="250" t="s">
        <v>605</v>
      </c>
      <c r="C630" s="251"/>
      <c r="D630" s="51">
        <f aca="true" t="shared" si="121" ref="D630:F631">D631</f>
        <v>126666.09999999999</v>
      </c>
      <c r="E630" s="51">
        <f t="shared" si="121"/>
        <v>150672</v>
      </c>
      <c r="F630" s="51">
        <f t="shared" si="121"/>
        <v>-24005.90000000001</v>
      </c>
    </row>
    <row r="631" spans="1:6" s="36" customFormat="1" ht="12.75" customHeight="1">
      <c r="A631" s="169" t="s">
        <v>265</v>
      </c>
      <c r="B631" s="250" t="s">
        <v>605</v>
      </c>
      <c r="C631" s="251" t="s">
        <v>229</v>
      </c>
      <c r="D631" s="51">
        <f t="shared" si="121"/>
        <v>126666.09999999999</v>
      </c>
      <c r="E631" s="51">
        <f t="shared" si="121"/>
        <v>150672</v>
      </c>
      <c r="F631" s="51">
        <f t="shared" si="121"/>
        <v>-24005.90000000001</v>
      </c>
    </row>
    <row r="632" spans="1:6" s="36" customFormat="1" ht="12.75" customHeight="1">
      <c r="A632" s="284" t="s">
        <v>207</v>
      </c>
      <c r="B632" s="250" t="s">
        <v>605</v>
      </c>
      <c r="C632" s="251" t="s">
        <v>230</v>
      </c>
      <c r="D632" s="51">
        <f>148271.4-21605.3</f>
        <v>126666.09999999999</v>
      </c>
      <c r="E632" s="51">
        <v>150672</v>
      </c>
      <c r="F632" s="51">
        <f>D632-E632</f>
        <v>-24005.90000000001</v>
      </c>
    </row>
    <row r="633" spans="1:6" s="36" customFormat="1" ht="12.75">
      <c r="A633" s="279" t="s">
        <v>281</v>
      </c>
      <c r="B633" s="248" t="s">
        <v>276</v>
      </c>
      <c r="C633" s="286"/>
      <c r="D633" s="320">
        <f>D634+D642</f>
        <v>3966.1000000000004</v>
      </c>
      <c r="E633" s="320">
        <f>E634+E642</f>
        <v>3970.8</v>
      </c>
      <c r="F633" s="320">
        <f>F634+F642</f>
        <v>-4.699999999999989</v>
      </c>
    </row>
    <row r="634" spans="1:6" s="36" customFormat="1" ht="14.25" customHeight="1">
      <c r="A634" s="284" t="s">
        <v>232</v>
      </c>
      <c r="B634" s="250" t="s">
        <v>277</v>
      </c>
      <c r="C634" s="251"/>
      <c r="D634" s="51">
        <f>D635+D639</f>
        <v>3015.2000000000003</v>
      </c>
      <c r="E634" s="51">
        <f>E635+E639</f>
        <v>3019.9</v>
      </c>
      <c r="F634" s="51">
        <f>F635+F639</f>
        <v>-4.699999999999989</v>
      </c>
    </row>
    <row r="635" spans="1:6" s="23" customFormat="1" ht="12.75">
      <c r="A635" s="284" t="s">
        <v>129</v>
      </c>
      <c r="B635" s="250" t="s">
        <v>278</v>
      </c>
      <c r="C635" s="251"/>
      <c r="D635" s="51">
        <f>D636</f>
        <v>204.8</v>
      </c>
      <c r="E635" s="51">
        <f>E636</f>
        <v>209.5</v>
      </c>
      <c r="F635" s="51">
        <f>F636</f>
        <v>-4.699999999999989</v>
      </c>
    </row>
    <row r="636" spans="1:6" s="23" customFormat="1" ht="24" customHeight="1">
      <c r="A636" s="284" t="s">
        <v>220</v>
      </c>
      <c r="B636" s="250" t="s">
        <v>278</v>
      </c>
      <c r="C636" s="251" t="s">
        <v>206</v>
      </c>
      <c r="D636" s="51">
        <f>D637+D638</f>
        <v>204.8</v>
      </c>
      <c r="E636" s="51">
        <f>E637+E638</f>
        <v>209.5</v>
      </c>
      <c r="F636" s="51">
        <f>F637+F638</f>
        <v>-4.699999999999989</v>
      </c>
    </row>
    <row r="637" spans="1:6" s="23" customFormat="1" ht="12.75" customHeight="1">
      <c r="A637" s="284" t="s">
        <v>221</v>
      </c>
      <c r="B637" s="250" t="s">
        <v>278</v>
      </c>
      <c r="C637" s="251" t="s">
        <v>222</v>
      </c>
      <c r="D637" s="51">
        <f>205.2-4.7</f>
        <v>200.5</v>
      </c>
      <c r="E637" s="51">
        <v>205.2</v>
      </c>
      <c r="F637" s="51">
        <f>D637-E637</f>
        <v>-4.699999999999989</v>
      </c>
    </row>
    <row r="638" spans="1:6" s="23" customFormat="1" ht="12.75" customHeight="1">
      <c r="A638" s="284" t="s">
        <v>227</v>
      </c>
      <c r="B638" s="250" t="s">
        <v>278</v>
      </c>
      <c r="C638" s="251" t="s">
        <v>226</v>
      </c>
      <c r="D638" s="51">
        <v>4.3</v>
      </c>
      <c r="E638" s="51">
        <v>4.3</v>
      </c>
      <c r="F638" s="51">
        <f>D638-E638</f>
        <v>0</v>
      </c>
    </row>
    <row r="639" spans="1:6" s="23" customFormat="1" ht="35.25" customHeight="1">
      <c r="A639" s="284" t="s">
        <v>332</v>
      </c>
      <c r="B639" s="250" t="s">
        <v>283</v>
      </c>
      <c r="C639" s="251"/>
      <c r="D639" s="51">
        <f>D640</f>
        <v>2810.4</v>
      </c>
      <c r="E639" s="51">
        <f>E640</f>
        <v>2810.4</v>
      </c>
      <c r="F639" s="51">
        <f>F640</f>
        <v>0</v>
      </c>
    </row>
    <row r="640" spans="1:6" s="23" customFormat="1" ht="24" customHeight="1">
      <c r="A640" s="284" t="s">
        <v>220</v>
      </c>
      <c r="B640" s="250" t="s">
        <v>283</v>
      </c>
      <c r="C640" s="251" t="s">
        <v>206</v>
      </c>
      <c r="D640" s="51">
        <f>SUM(D641:D641)</f>
        <v>2810.4</v>
      </c>
      <c r="E640" s="51">
        <f>SUM(E641:E641)</f>
        <v>2810.4</v>
      </c>
      <c r="F640" s="51">
        <f>SUM(F641:F641)</f>
        <v>0</v>
      </c>
    </row>
    <row r="641" spans="1:6" s="23" customFormat="1" ht="12.75" customHeight="1">
      <c r="A641" s="284" t="s">
        <v>221</v>
      </c>
      <c r="B641" s="250" t="s">
        <v>283</v>
      </c>
      <c r="C641" s="251" t="s">
        <v>222</v>
      </c>
      <c r="D641" s="51">
        <v>2810.4</v>
      </c>
      <c r="E641" s="51">
        <v>2810.4</v>
      </c>
      <c r="F641" s="51">
        <f>D641-E641</f>
        <v>0</v>
      </c>
    </row>
    <row r="642" spans="1:6" s="36" customFormat="1" ht="24">
      <c r="A642" s="284" t="s">
        <v>231</v>
      </c>
      <c r="B642" s="250" t="s">
        <v>279</v>
      </c>
      <c r="C642" s="251"/>
      <c r="D642" s="51">
        <f>D643+D646+D649</f>
        <v>950.9</v>
      </c>
      <c r="E642" s="51">
        <f>E643+E646+E649</f>
        <v>950.9</v>
      </c>
      <c r="F642" s="51">
        <f>F643+F646+F649</f>
        <v>0</v>
      </c>
    </row>
    <row r="643" spans="1:6" s="36" customFormat="1" ht="12.75">
      <c r="A643" s="284" t="s">
        <v>323</v>
      </c>
      <c r="B643" s="250" t="s">
        <v>347</v>
      </c>
      <c r="C643" s="251"/>
      <c r="D643" s="51">
        <f aca="true" t="shared" si="122" ref="D643:F644">D644</f>
        <v>500</v>
      </c>
      <c r="E643" s="51">
        <f t="shared" si="122"/>
        <v>500</v>
      </c>
      <c r="F643" s="51">
        <f t="shared" si="122"/>
        <v>0</v>
      </c>
    </row>
    <row r="644" spans="1:9" s="36" customFormat="1" ht="24" customHeight="1">
      <c r="A644" s="284" t="s">
        <v>220</v>
      </c>
      <c r="B644" s="250" t="s">
        <v>347</v>
      </c>
      <c r="C644" s="251" t="s">
        <v>206</v>
      </c>
      <c r="D644" s="51">
        <f t="shared" si="122"/>
        <v>500</v>
      </c>
      <c r="E644" s="51">
        <f t="shared" si="122"/>
        <v>500</v>
      </c>
      <c r="F644" s="51">
        <f t="shared" si="122"/>
        <v>0</v>
      </c>
      <c r="I644" s="23"/>
    </row>
    <row r="645" spans="1:6" s="36" customFormat="1" ht="12.75" customHeight="1">
      <c r="A645" s="284" t="s">
        <v>227</v>
      </c>
      <c r="B645" s="250" t="s">
        <v>347</v>
      </c>
      <c r="C645" s="251" t="s">
        <v>226</v>
      </c>
      <c r="D645" s="51">
        <v>500</v>
      </c>
      <c r="E645" s="51">
        <v>500</v>
      </c>
      <c r="F645" s="51">
        <f>D645-E645</f>
        <v>0</v>
      </c>
    </row>
    <row r="646" spans="1:6" s="36" customFormat="1" ht="12.75">
      <c r="A646" s="284" t="s">
        <v>325</v>
      </c>
      <c r="B646" s="250" t="s">
        <v>346</v>
      </c>
      <c r="C646" s="251"/>
      <c r="D646" s="51">
        <f aca="true" t="shared" si="123" ref="D646:F647">D647</f>
        <v>350.9</v>
      </c>
      <c r="E646" s="51">
        <f t="shared" si="123"/>
        <v>350.9</v>
      </c>
      <c r="F646" s="51">
        <f t="shared" si="123"/>
        <v>0</v>
      </c>
    </row>
    <row r="647" spans="1:6" s="20" customFormat="1" ht="24" customHeight="1">
      <c r="A647" s="284" t="s">
        <v>220</v>
      </c>
      <c r="B647" s="250" t="s">
        <v>346</v>
      </c>
      <c r="C647" s="251" t="s">
        <v>206</v>
      </c>
      <c r="D647" s="51">
        <f t="shared" si="123"/>
        <v>350.9</v>
      </c>
      <c r="E647" s="51">
        <f t="shared" si="123"/>
        <v>350.9</v>
      </c>
      <c r="F647" s="51">
        <f t="shared" si="123"/>
        <v>0</v>
      </c>
    </row>
    <row r="648" spans="1:6" s="20" customFormat="1" ht="12.75" customHeight="1">
      <c r="A648" s="284" t="s">
        <v>227</v>
      </c>
      <c r="B648" s="250" t="s">
        <v>346</v>
      </c>
      <c r="C648" s="251" t="s">
        <v>226</v>
      </c>
      <c r="D648" s="51">
        <v>350.9</v>
      </c>
      <c r="E648" s="51">
        <v>350.9</v>
      </c>
      <c r="F648" s="51">
        <f>D648-E648</f>
        <v>0</v>
      </c>
    </row>
    <row r="649" spans="1:6" s="20" customFormat="1" ht="15" customHeight="1">
      <c r="A649" s="284" t="s">
        <v>326</v>
      </c>
      <c r="B649" s="250" t="s">
        <v>475</v>
      </c>
      <c r="C649" s="251"/>
      <c r="D649" s="51">
        <f aca="true" t="shared" si="124" ref="D649:F650">D650</f>
        <v>100</v>
      </c>
      <c r="E649" s="51">
        <f t="shared" si="124"/>
        <v>100</v>
      </c>
      <c r="F649" s="51">
        <f t="shared" si="124"/>
        <v>0</v>
      </c>
    </row>
    <row r="650" spans="1:6" s="20" customFormat="1" ht="24" customHeight="1">
      <c r="A650" s="284" t="s">
        <v>220</v>
      </c>
      <c r="B650" s="250" t="s">
        <v>475</v>
      </c>
      <c r="C650" s="251" t="s">
        <v>206</v>
      </c>
      <c r="D650" s="51">
        <f t="shared" si="124"/>
        <v>100</v>
      </c>
      <c r="E650" s="51">
        <f t="shared" si="124"/>
        <v>100</v>
      </c>
      <c r="F650" s="51">
        <f t="shared" si="124"/>
        <v>0</v>
      </c>
    </row>
    <row r="651" spans="1:6" s="20" customFormat="1" ht="12.75" customHeight="1">
      <c r="A651" s="284" t="s">
        <v>227</v>
      </c>
      <c r="B651" s="250" t="s">
        <v>475</v>
      </c>
      <c r="C651" s="251" t="s">
        <v>226</v>
      </c>
      <c r="D651" s="51">
        <v>100</v>
      </c>
      <c r="E651" s="51">
        <v>100</v>
      </c>
      <c r="F651" s="51">
        <f>D651-E651</f>
        <v>0</v>
      </c>
    </row>
    <row r="652" spans="1:6" s="20" customFormat="1" ht="21.75" customHeight="1">
      <c r="A652" s="247" t="s">
        <v>584</v>
      </c>
      <c r="B652" s="309" t="s">
        <v>47</v>
      </c>
      <c r="C652" s="249"/>
      <c r="D652" s="50">
        <f>D661+D668+D682+D687+D690+D693+D673+D653+D676+D679</f>
        <v>61185.3</v>
      </c>
      <c r="E652" s="50">
        <f>E661+E668+E682+E687+E690+E693+E673+E653+E676+E679</f>
        <v>61185.3</v>
      </c>
      <c r="F652" s="364">
        <f>F661+F668+F682+F687+F690+F693+F673+F653+F676+F679</f>
        <v>-7.744915819785092E-13</v>
      </c>
    </row>
    <row r="653" spans="1:6" s="20" customFormat="1" ht="20.25" customHeight="1">
      <c r="A653" s="170" t="s">
        <v>127</v>
      </c>
      <c r="B653" s="305" t="s">
        <v>305</v>
      </c>
      <c r="C653" s="251"/>
      <c r="D653" s="51">
        <f>D654+D656+D658</f>
        <v>23008.1</v>
      </c>
      <c r="E653" s="51">
        <f>E654+E656+E658</f>
        <v>23008.1</v>
      </c>
      <c r="F653" s="51">
        <f>F654+F656+F658</f>
        <v>-7.744915819785092E-13</v>
      </c>
    </row>
    <row r="654" spans="1:6" s="20" customFormat="1" ht="36" customHeight="1">
      <c r="A654" s="252" t="s">
        <v>139</v>
      </c>
      <c r="B654" s="305" t="s">
        <v>305</v>
      </c>
      <c r="C654" s="251" t="s">
        <v>228</v>
      </c>
      <c r="D654" s="51">
        <f>D655</f>
        <v>6131.3</v>
      </c>
      <c r="E654" s="51">
        <f>E655</f>
        <v>6131.3</v>
      </c>
      <c r="F654" s="51">
        <f>F655</f>
        <v>0</v>
      </c>
    </row>
    <row r="655" spans="1:6" s="20" customFormat="1" ht="12.75" customHeight="1">
      <c r="A655" s="252" t="s">
        <v>307</v>
      </c>
      <c r="B655" s="305" t="s">
        <v>305</v>
      </c>
      <c r="C655" s="251" t="s">
        <v>306</v>
      </c>
      <c r="D655" s="51">
        <f>5443.6+355+201.7+131</f>
        <v>6131.3</v>
      </c>
      <c r="E655" s="51">
        <f>5443.6+355+201.7+131</f>
        <v>6131.3</v>
      </c>
      <c r="F655" s="51">
        <f>D655-E655</f>
        <v>0</v>
      </c>
    </row>
    <row r="656" spans="1:6" s="20" customFormat="1" ht="17.25" customHeight="1">
      <c r="A656" s="252" t="s">
        <v>264</v>
      </c>
      <c r="B656" s="305" t="s">
        <v>305</v>
      </c>
      <c r="C656" s="251" t="s">
        <v>216</v>
      </c>
      <c r="D656" s="51">
        <f>D657</f>
        <v>16249.5</v>
      </c>
      <c r="E656" s="51">
        <f>E657</f>
        <v>16306.2</v>
      </c>
      <c r="F656" s="51">
        <f>F657</f>
        <v>-56.70000000000073</v>
      </c>
    </row>
    <row r="657" spans="1:6" s="20" customFormat="1" ht="15.75" customHeight="1">
      <c r="A657" s="252" t="s">
        <v>217</v>
      </c>
      <c r="B657" s="305" t="s">
        <v>305</v>
      </c>
      <c r="C657" s="251" t="s">
        <v>215</v>
      </c>
      <c r="D657" s="51">
        <v>16249.5</v>
      </c>
      <c r="E657" s="51">
        <v>16306.2</v>
      </c>
      <c r="F657" s="51">
        <f>D657-E657</f>
        <v>-56.70000000000073</v>
      </c>
    </row>
    <row r="658" spans="1:6" s="20" customFormat="1" ht="12.75" customHeight="1">
      <c r="A658" s="169" t="s">
        <v>107</v>
      </c>
      <c r="B658" s="305" t="s">
        <v>305</v>
      </c>
      <c r="C658" s="251" t="s">
        <v>100</v>
      </c>
      <c r="D658" s="51">
        <f>D660+D659</f>
        <v>627.3</v>
      </c>
      <c r="E658" s="51">
        <f>E660+E659</f>
        <v>570.6</v>
      </c>
      <c r="F658" s="51">
        <f>F660+F659</f>
        <v>56.69999999999995</v>
      </c>
    </row>
    <row r="659" spans="1:6" s="20" customFormat="1" ht="12.75" customHeight="1">
      <c r="A659" s="169" t="s">
        <v>351</v>
      </c>
      <c r="B659" s="305" t="s">
        <v>305</v>
      </c>
      <c r="C659" s="251" t="s">
        <v>607</v>
      </c>
      <c r="D659" s="51">
        <v>5.3</v>
      </c>
      <c r="E659" s="51">
        <v>2.9</v>
      </c>
      <c r="F659" s="51">
        <f>D659-E659</f>
        <v>2.4</v>
      </c>
    </row>
    <row r="660" spans="1:6" s="20" customFormat="1" ht="12.75" customHeight="1">
      <c r="A660" s="169" t="s">
        <v>242</v>
      </c>
      <c r="B660" s="305" t="s">
        <v>305</v>
      </c>
      <c r="C660" s="251" t="s">
        <v>243</v>
      </c>
      <c r="D660" s="51">
        <v>622</v>
      </c>
      <c r="E660" s="51">
        <v>567.7</v>
      </c>
      <c r="F660" s="51">
        <f>D660-E660</f>
        <v>54.299999999999955</v>
      </c>
    </row>
    <row r="661" spans="1:6" s="20" customFormat="1" ht="12.75">
      <c r="A661" s="170" t="s">
        <v>138</v>
      </c>
      <c r="B661" s="305" t="s">
        <v>48</v>
      </c>
      <c r="C661" s="251"/>
      <c r="D661" s="51">
        <f>D662+D664+D666</f>
        <v>32869.00000000001</v>
      </c>
      <c r="E661" s="51">
        <f>E662+E664+E666</f>
        <v>32869.00000000001</v>
      </c>
      <c r="F661" s="51">
        <f>F662+F664+F666</f>
        <v>0</v>
      </c>
    </row>
    <row r="662" spans="1:6" s="20" customFormat="1" ht="36" customHeight="1">
      <c r="A662" s="252" t="s">
        <v>139</v>
      </c>
      <c r="B662" s="305" t="s">
        <v>48</v>
      </c>
      <c r="C662" s="251" t="s">
        <v>228</v>
      </c>
      <c r="D662" s="51">
        <f>D663</f>
        <v>31791.300000000003</v>
      </c>
      <c r="E662" s="51">
        <f>E663</f>
        <v>31791.300000000003</v>
      </c>
      <c r="F662" s="51">
        <f>F663</f>
        <v>0</v>
      </c>
    </row>
    <row r="663" spans="1:6" s="20" customFormat="1" ht="12.75" customHeight="1">
      <c r="A663" s="169" t="s">
        <v>223</v>
      </c>
      <c r="B663" s="305" t="s">
        <v>48</v>
      </c>
      <c r="C663" s="251" t="s">
        <v>224</v>
      </c>
      <c r="D663" s="51">
        <f>28134.5+1153.4+1939.2+564.2</f>
        <v>31791.300000000003</v>
      </c>
      <c r="E663" s="51">
        <f>28134.5+1153.4+1939.2+564.2</f>
        <v>31791.300000000003</v>
      </c>
      <c r="F663" s="51">
        <f>D663-E663</f>
        <v>0</v>
      </c>
    </row>
    <row r="664" spans="1:6" s="20" customFormat="1" ht="12.75" customHeight="1">
      <c r="A664" s="252" t="s">
        <v>264</v>
      </c>
      <c r="B664" s="305" t="s">
        <v>48</v>
      </c>
      <c r="C664" s="251" t="s">
        <v>216</v>
      </c>
      <c r="D664" s="51">
        <f>D665</f>
        <v>1064.4</v>
      </c>
      <c r="E664" s="51">
        <f>E665</f>
        <v>1064.4</v>
      </c>
      <c r="F664" s="51">
        <f>F665</f>
        <v>0</v>
      </c>
    </row>
    <row r="665" spans="1:6" s="26" customFormat="1" ht="12.75" customHeight="1">
      <c r="A665" s="252" t="s">
        <v>217</v>
      </c>
      <c r="B665" s="305" t="s">
        <v>48</v>
      </c>
      <c r="C665" s="251" t="s">
        <v>215</v>
      </c>
      <c r="D665" s="51">
        <v>1064.4</v>
      </c>
      <c r="E665" s="51">
        <v>1064.4</v>
      </c>
      <c r="F665" s="51">
        <f>D665-E665</f>
        <v>0</v>
      </c>
    </row>
    <row r="666" spans="1:6" s="20" customFormat="1" ht="12.75" customHeight="1">
      <c r="A666" s="169" t="s">
        <v>107</v>
      </c>
      <c r="B666" s="305" t="s">
        <v>48</v>
      </c>
      <c r="C666" s="251" t="s">
        <v>100</v>
      </c>
      <c r="D666" s="51">
        <f>D667</f>
        <v>13.3</v>
      </c>
      <c r="E666" s="51">
        <f>E667</f>
        <v>13.3</v>
      </c>
      <c r="F666" s="51">
        <f>F667</f>
        <v>0</v>
      </c>
    </row>
    <row r="667" spans="1:6" s="20" customFormat="1" ht="12.75" customHeight="1">
      <c r="A667" s="169" t="s">
        <v>242</v>
      </c>
      <c r="B667" s="305" t="s">
        <v>48</v>
      </c>
      <c r="C667" s="251" t="s">
        <v>243</v>
      </c>
      <c r="D667" s="51">
        <v>13.3</v>
      </c>
      <c r="E667" s="51">
        <v>13.3</v>
      </c>
      <c r="F667" s="51">
        <f>D667-E667</f>
        <v>0</v>
      </c>
    </row>
    <row r="668" spans="1:6" s="26" customFormat="1" ht="24">
      <c r="A668" s="253" t="s">
        <v>109</v>
      </c>
      <c r="B668" s="250" t="s">
        <v>59</v>
      </c>
      <c r="C668" s="251"/>
      <c r="D668" s="51">
        <f>SUM(D669,D671)</f>
        <v>2521.2</v>
      </c>
      <c r="E668" s="51">
        <f>SUM(E669,E671)</f>
        <v>2521.2</v>
      </c>
      <c r="F668" s="51">
        <f>SUM(F669,F671)</f>
        <v>0</v>
      </c>
    </row>
    <row r="669" spans="1:6" s="26" customFormat="1" ht="12.75" customHeight="1">
      <c r="A669" s="252" t="s">
        <v>264</v>
      </c>
      <c r="B669" s="250" t="s">
        <v>59</v>
      </c>
      <c r="C669" s="251" t="s">
        <v>216</v>
      </c>
      <c r="D669" s="51">
        <f>D670</f>
        <v>2486.2</v>
      </c>
      <c r="E669" s="51">
        <f>E670</f>
        <v>2486.2</v>
      </c>
      <c r="F669" s="51">
        <f>F670</f>
        <v>0</v>
      </c>
    </row>
    <row r="670" spans="1:6" s="26" customFormat="1" ht="12.75" customHeight="1">
      <c r="A670" s="252" t="s">
        <v>217</v>
      </c>
      <c r="B670" s="250" t="s">
        <v>59</v>
      </c>
      <c r="C670" s="251" t="s">
        <v>215</v>
      </c>
      <c r="D670" s="51">
        <v>2486.2</v>
      </c>
      <c r="E670" s="51">
        <v>2486.2</v>
      </c>
      <c r="F670" s="51">
        <f>D670-E670</f>
        <v>0</v>
      </c>
    </row>
    <row r="671" spans="1:6" s="20" customFormat="1" ht="12.75" customHeight="1">
      <c r="A671" s="169" t="s">
        <v>107</v>
      </c>
      <c r="B671" s="250" t="s">
        <v>59</v>
      </c>
      <c r="C671" s="251" t="s">
        <v>100</v>
      </c>
      <c r="D671" s="51">
        <f>D672</f>
        <v>35</v>
      </c>
      <c r="E671" s="51">
        <f>E672</f>
        <v>35</v>
      </c>
      <c r="F671" s="51">
        <f>F672</f>
        <v>0</v>
      </c>
    </row>
    <row r="672" spans="1:6" s="20" customFormat="1" ht="12.75" customHeight="1">
      <c r="A672" s="169" t="s">
        <v>242</v>
      </c>
      <c r="B672" s="250" t="s">
        <v>59</v>
      </c>
      <c r="C672" s="251" t="s">
        <v>243</v>
      </c>
      <c r="D672" s="51">
        <v>35</v>
      </c>
      <c r="E672" s="51">
        <v>35</v>
      </c>
      <c r="F672" s="51">
        <f>D672-E672</f>
        <v>0</v>
      </c>
    </row>
    <row r="673" spans="1:6" s="20" customFormat="1" ht="24">
      <c r="A673" s="88" t="s">
        <v>293</v>
      </c>
      <c r="B673" s="305" t="s">
        <v>294</v>
      </c>
      <c r="C673" s="251"/>
      <c r="D673" s="51">
        <f aca="true" t="shared" si="125" ref="D673:F674">D674</f>
        <v>177.6</v>
      </c>
      <c r="E673" s="51">
        <f t="shared" si="125"/>
        <v>177.6</v>
      </c>
      <c r="F673" s="51">
        <f t="shared" si="125"/>
        <v>0</v>
      </c>
    </row>
    <row r="674" spans="1:6" s="20" customFormat="1" ht="12.75" customHeight="1">
      <c r="A674" s="252" t="s">
        <v>264</v>
      </c>
      <c r="B674" s="305" t="s">
        <v>294</v>
      </c>
      <c r="C674" s="251" t="s">
        <v>216</v>
      </c>
      <c r="D674" s="51">
        <f t="shared" si="125"/>
        <v>177.6</v>
      </c>
      <c r="E674" s="51">
        <f t="shared" si="125"/>
        <v>177.6</v>
      </c>
      <c r="F674" s="51">
        <f t="shared" si="125"/>
        <v>0</v>
      </c>
    </row>
    <row r="675" spans="1:6" s="20" customFormat="1" ht="16.5" customHeight="1">
      <c r="A675" s="252" t="s">
        <v>217</v>
      </c>
      <c r="B675" s="305" t="s">
        <v>294</v>
      </c>
      <c r="C675" s="251" t="s">
        <v>215</v>
      </c>
      <c r="D675" s="51">
        <f>192.6-15</f>
        <v>177.6</v>
      </c>
      <c r="E675" s="51">
        <f>192.6-15</f>
        <v>177.6</v>
      </c>
      <c r="F675" s="51">
        <f>D675-E675</f>
        <v>0</v>
      </c>
    </row>
    <row r="676" spans="1:6" s="20" customFormat="1" ht="24">
      <c r="A676" s="253" t="s">
        <v>669</v>
      </c>
      <c r="B676" s="305" t="s">
        <v>668</v>
      </c>
      <c r="C676" s="251"/>
      <c r="D676" s="51">
        <f aca="true" t="shared" si="126" ref="D676:F677">D677</f>
        <v>293.2</v>
      </c>
      <c r="E676" s="51">
        <f t="shared" si="126"/>
        <v>293.2</v>
      </c>
      <c r="F676" s="51">
        <f t="shared" si="126"/>
        <v>0</v>
      </c>
    </row>
    <row r="677" spans="1:6" s="20" customFormat="1" ht="36">
      <c r="A677" s="252" t="s">
        <v>139</v>
      </c>
      <c r="B677" s="305" t="s">
        <v>668</v>
      </c>
      <c r="C677" s="251" t="s">
        <v>228</v>
      </c>
      <c r="D677" s="51">
        <f t="shared" si="126"/>
        <v>293.2</v>
      </c>
      <c r="E677" s="51">
        <f t="shared" si="126"/>
        <v>293.2</v>
      </c>
      <c r="F677" s="51">
        <f t="shared" si="126"/>
        <v>0</v>
      </c>
    </row>
    <row r="678" spans="1:6" s="20" customFormat="1" ht="12.75">
      <c r="A678" s="169" t="s">
        <v>223</v>
      </c>
      <c r="B678" s="305" t="s">
        <v>668</v>
      </c>
      <c r="C678" s="251" t="s">
        <v>224</v>
      </c>
      <c r="D678" s="51">
        <v>293.2</v>
      </c>
      <c r="E678" s="51">
        <v>293.2</v>
      </c>
      <c r="F678" s="51">
        <f>D678-E678</f>
        <v>0</v>
      </c>
    </row>
    <row r="679" spans="1:6" s="20" customFormat="1" ht="12.75">
      <c r="A679" s="253" t="s">
        <v>680</v>
      </c>
      <c r="B679" s="305" t="s">
        <v>679</v>
      </c>
      <c r="C679" s="251"/>
      <c r="D679" s="51">
        <f aca="true" t="shared" si="127" ref="D679:F680">D680</f>
        <v>357.4</v>
      </c>
      <c r="E679" s="51">
        <f t="shared" si="127"/>
        <v>357.4</v>
      </c>
      <c r="F679" s="51">
        <f t="shared" si="127"/>
        <v>0</v>
      </c>
    </row>
    <row r="680" spans="1:6" s="20" customFormat="1" ht="36">
      <c r="A680" s="252" t="s">
        <v>139</v>
      </c>
      <c r="B680" s="305" t="s">
        <v>679</v>
      </c>
      <c r="C680" s="251" t="s">
        <v>228</v>
      </c>
      <c r="D680" s="51">
        <f t="shared" si="127"/>
        <v>357.4</v>
      </c>
      <c r="E680" s="51">
        <f t="shared" si="127"/>
        <v>357.4</v>
      </c>
      <c r="F680" s="51">
        <f t="shared" si="127"/>
        <v>0</v>
      </c>
    </row>
    <row r="681" spans="1:6" s="20" customFormat="1" ht="12.75">
      <c r="A681" s="169" t="s">
        <v>307</v>
      </c>
      <c r="B681" s="305" t="s">
        <v>679</v>
      </c>
      <c r="C681" s="251" t="s">
        <v>306</v>
      </c>
      <c r="D681" s="51">
        <v>357.4</v>
      </c>
      <c r="E681" s="51">
        <v>357.4</v>
      </c>
      <c r="F681" s="51">
        <f>D681-E681</f>
        <v>0</v>
      </c>
    </row>
    <row r="682" spans="1:6" s="20" customFormat="1" ht="24">
      <c r="A682" s="310" t="s">
        <v>142</v>
      </c>
      <c r="B682" s="305" t="s">
        <v>312</v>
      </c>
      <c r="C682" s="251"/>
      <c r="D682" s="51">
        <f>D683+D685</f>
        <v>1477.4</v>
      </c>
      <c r="E682" s="51">
        <f>E683+E685</f>
        <v>1477.4</v>
      </c>
      <c r="F682" s="51">
        <f>F683+F685</f>
        <v>0</v>
      </c>
    </row>
    <row r="683" spans="1:6" s="20" customFormat="1" ht="36" customHeight="1">
      <c r="A683" s="252" t="s">
        <v>139</v>
      </c>
      <c r="B683" s="305" t="s">
        <v>312</v>
      </c>
      <c r="C683" s="251" t="s">
        <v>228</v>
      </c>
      <c r="D683" s="51">
        <f>D684</f>
        <v>1337.4</v>
      </c>
      <c r="E683" s="51">
        <f>E684</f>
        <v>1337.4</v>
      </c>
      <c r="F683" s="51">
        <f>F684</f>
        <v>0</v>
      </c>
    </row>
    <row r="684" spans="1:6" s="20" customFormat="1" ht="12.75" customHeight="1">
      <c r="A684" s="169" t="s">
        <v>223</v>
      </c>
      <c r="B684" s="305" t="s">
        <v>312</v>
      </c>
      <c r="C684" s="251" t="s">
        <v>224</v>
      </c>
      <c r="D684" s="51">
        <v>1337.4</v>
      </c>
      <c r="E684" s="51">
        <v>1337.4</v>
      </c>
      <c r="F684" s="51">
        <f>D684-E684</f>
        <v>0</v>
      </c>
    </row>
    <row r="685" spans="1:6" s="20" customFormat="1" ht="12.75" customHeight="1">
      <c r="A685" s="252" t="s">
        <v>264</v>
      </c>
      <c r="B685" s="305" t="s">
        <v>312</v>
      </c>
      <c r="C685" s="251" t="s">
        <v>216</v>
      </c>
      <c r="D685" s="51">
        <f>D686</f>
        <v>140</v>
      </c>
      <c r="E685" s="51">
        <f>E686</f>
        <v>140</v>
      </c>
      <c r="F685" s="51">
        <f>F686</f>
        <v>0</v>
      </c>
    </row>
    <row r="686" spans="1:6" s="20" customFormat="1" ht="12.75" customHeight="1">
      <c r="A686" s="252" t="s">
        <v>217</v>
      </c>
      <c r="B686" s="305" t="s">
        <v>312</v>
      </c>
      <c r="C686" s="251" t="s">
        <v>215</v>
      </c>
      <c r="D686" s="51">
        <v>140</v>
      </c>
      <c r="E686" s="51">
        <v>140</v>
      </c>
      <c r="F686" s="51">
        <f>D686-E686</f>
        <v>0</v>
      </c>
    </row>
    <row r="687" spans="1:6" s="20" customFormat="1" ht="16.5" customHeight="1">
      <c r="A687" s="253" t="s">
        <v>116</v>
      </c>
      <c r="B687" s="254" t="s">
        <v>448</v>
      </c>
      <c r="C687" s="251"/>
      <c r="D687" s="51">
        <f aca="true" t="shared" si="128" ref="D687:F688">D688</f>
        <v>105</v>
      </c>
      <c r="E687" s="51">
        <f t="shared" si="128"/>
        <v>105</v>
      </c>
      <c r="F687" s="51">
        <f t="shared" si="128"/>
        <v>0</v>
      </c>
    </row>
    <row r="688" spans="1:6" s="20" customFormat="1" ht="18" customHeight="1">
      <c r="A688" s="252" t="s">
        <v>264</v>
      </c>
      <c r="B688" s="254" t="s">
        <v>448</v>
      </c>
      <c r="C688" s="251" t="s">
        <v>216</v>
      </c>
      <c r="D688" s="51">
        <f t="shared" si="128"/>
        <v>105</v>
      </c>
      <c r="E688" s="51">
        <f t="shared" si="128"/>
        <v>105</v>
      </c>
      <c r="F688" s="51">
        <f t="shared" si="128"/>
        <v>0</v>
      </c>
    </row>
    <row r="689" spans="1:6" s="20" customFormat="1" ht="16.5" customHeight="1">
      <c r="A689" s="252" t="s">
        <v>217</v>
      </c>
      <c r="B689" s="254" t="s">
        <v>448</v>
      </c>
      <c r="C689" s="251" t="s">
        <v>215</v>
      </c>
      <c r="D689" s="51">
        <v>105</v>
      </c>
      <c r="E689" s="51">
        <v>105</v>
      </c>
      <c r="F689" s="51">
        <f>D689-E689</f>
        <v>0</v>
      </c>
    </row>
    <row r="690" spans="1:6" s="20" customFormat="1" ht="36">
      <c r="A690" s="252" t="s">
        <v>143</v>
      </c>
      <c r="B690" s="254" t="s">
        <v>52</v>
      </c>
      <c r="C690" s="251"/>
      <c r="D690" s="51">
        <f aca="true" t="shared" si="129" ref="D690:F691">D691</f>
        <v>7</v>
      </c>
      <c r="E690" s="51">
        <f t="shared" si="129"/>
        <v>7</v>
      </c>
      <c r="F690" s="51">
        <f t="shared" si="129"/>
        <v>0</v>
      </c>
    </row>
    <row r="691" spans="1:6" s="20" customFormat="1" ht="24" customHeight="1">
      <c r="A691" s="252" t="s">
        <v>264</v>
      </c>
      <c r="B691" s="254" t="s">
        <v>52</v>
      </c>
      <c r="C691" s="251" t="s">
        <v>216</v>
      </c>
      <c r="D691" s="51">
        <f t="shared" si="129"/>
        <v>7</v>
      </c>
      <c r="E691" s="51">
        <f t="shared" si="129"/>
        <v>7</v>
      </c>
      <c r="F691" s="51">
        <f t="shared" si="129"/>
        <v>0</v>
      </c>
    </row>
    <row r="692" spans="1:6" s="20" customFormat="1" ht="12.75" customHeight="1">
      <c r="A692" s="252" t="s">
        <v>217</v>
      </c>
      <c r="B692" s="254" t="s">
        <v>52</v>
      </c>
      <c r="C692" s="251" t="s">
        <v>215</v>
      </c>
      <c r="D692" s="51">
        <v>7</v>
      </c>
      <c r="E692" s="51">
        <v>7</v>
      </c>
      <c r="F692" s="51">
        <f>D692-E692</f>
        <v>0</v>
      </c>
    </row>
    <row r="693" spans="1:6" s="20" customFormat="1" ht="12.75">
      <c r="A693" s="310" t="s">
        <v>141</v>
      </c>
      <c r="B693" s="305" t="s">
        <v>53</v>
      </c>
      <c r="C693" s="251"/>
      <c r="D693" s="51">
        <f>D694+D696</f>
        <v>369.4</v>
      </c>
      <c r="E693" s="51">
        <f>E694+E696</f>
        <v>369.4</v>
      </c>
      <c r="F693" s="51">
        <f>F694+F696</f>
        <v>0</v>
      </c>
    </row>
    <row r="694" spans="1:6" s="20" customFormat="1" ht="36" customHeight="1">
      <c r="A694" s="252" t="s">
        <v>139</v>
      </c>
      <c r="B694" s="305" t="s">
        <v>53</v>
      </c>
      <c r="C694" s="251" t="s">
        <v>228</v>
      </c>
      <c r="D694" s="51">
        <f>D695</f>
        <v>264.4</v>
      </c>
      <c r="E694" s="51">
        <f>E695</f>
        <v>264.4</v>
      </c>
      <c r="F694" s="51">
        <f>F695</f>
        <v>0</v>
      </c>
    </row>
    <row r="695" spans="1:6" s="20" customFormat="1" ht="16.5" customHeight="1">
      <c r="A695" s="169" t="s">
        <v>223</v>
      </c>
      <c r="B695" s="305" t="s">
        <v>53</v>
      </c>
      <c r="C695" s="251" t="s">
        <v>224</v>
      </c>
      <c r="D695" s="51">
        <v>264.4</v>
      </c>
      <c r="E695" s="51">
        <v>264.4</v>
      </c>
      <c r="F695" s="51">
        <f>D695-E695</f>
        <v>0</v>
      </c>
    </row>
    <row r="696" spans="1:6" s="20" customFormat="1" ht="19.5" customHeight="1">
      <c r="A696" s="252" t="s">
        <v>264</v>
      </c>
      <c r="B696" s="305" t="s">
        <v>53</v>
      </c>
      <c r="C696" s="251" t="s">
        <v>216</v>
      </c>
      <c r="D696" s="51">
        <f>D697</f>
        <v>105</v>
      </c>
      <c r="E696" s="51">
        <f>E697</f>
        <v>105</v>
      </c>
      <c r="F696" s="51">
        <f>F697</f>
        <v>0</v>
      </c>
    </row>
    <row r="697" spans="1:6" s="20" customFormat="1" ht="18" customHeight="1">
      <c r="A697" s="252" t="s">
        <v>217</v>
      </c>
      <c r="B697" s="305" t="s">
        <v>53</v>
      </c>
      <c r="C697" s="251" t="s">
        <v>215</v>
      </c>
      <c r="D697" s="51">
        <v>105</v>
      </c>
      <c r="E697" s="51">
        <v>105</v>
      </c>
      <c r="F697" s="51">
        <f>D697-E697</f>
        <v>0</v>
      </c>
    </row>
    <row r="698" spans="1:6" s="20" customFormat="1" ht="33" customHeight="1">
      <c r="A698" s="247" t="s">
        <v>501</v>
      </c>
      <c r="B698" s="309" t="s">
        <v>314</v>
      </c>
      <c r="C698" s="249"/>
      <c r="D698" s="50">
        <f>D699</f>
        <v>12306</v>
      </c>
      <c r="E698" s="50">
        <f>E699</f>
        <v>12306</v>
      </c>
      <c r="F698" s="50">
        <f>F699</f>
        <v>0</v>
      </c>
    </row>
    <row r="699" spans="1:6" s="20" customFormat="1" ht="12.75">
      <c r="A699" s="170" t="s">
        <v>138</v>
      </c>
      <c r="B699" s="305" t="s">
        <v>315</v>
      </c>
      <c r="C699" s="251"/>
      <c r="D699" s="51">
        <f>D700+D702</f>
        <v>12306</v>
      </c>
      <c r="E699" s="51">
        <f>E700+E702</f>
        <v>12306</v>
      </c>
      <c r="F699" s="51">
        <f>F700+F702</f>
        <v>0</v>
      </c>
    </row>
    <row r="700" spans="1:6" s="20" customFormat="1" ht="36" customHeight="1">
      <c r="A700" s="252" t="s">
        <v>139</v>
      </c>
      <c r="B700" s="305" t="s">
        <v>315</v>
      </c>
      <c r="C700" s="251" t="s">
        <v>228</v>
      </c>
      <c r="D700" s="51">
        <f>D701</f>
        <v>11401.2</v>
      </c>
      <c r="E700" s="51">
        <f>E701</f>
        <v>11401.2</v>
      </c>
      <c r="F700" s="51">
        <f>F701</f>
        <v>0</v>
      </c>
    </row>
    <row r="701" spans="1:6" s="20" customFormat="1" ht="12.75" customHeight="1">
      <c r="A701" s="169" t="s">
        <v>223</v>
      </c>
      <c r="B701" s="305" t="s">
        <v>315</v>
      </c>
      <c r="C701" s="251" t="s">
        <v>224</v>
      </c>
      <c r="D701" s="51">
        <f>12391.2+130-860.1-259.9</f>
        <v>11401.2</v>
      </c>
      <c r="E701" s="51">
        <f>12391.2+130-860.1-259.9</f>
        <v>11401.2</v>
      </c>
      <c r="F701" s="51">
        <f>D701-E701</f>
        <v>0</v>
      </c>
    </row>
    <row r="702" spans="1:6" s="20" customFormat="1" ht="12.75" customHeight="1">
      <c r="A702" s="252" t="s">
        <v>264</v>
      </c>
      <c r="B702" s="305" t="s">
        <v>315</v>
      </c>
      <c r="C702" s="251" t="s">
        <v>216</v>
      </c>
      <c r="D702" s="51">
        <f>D703</f>
        <v>904.8</v>
      </c>
      <c r="E702" s="51">
        <f>E703</f>
        <v>904.8</v>
      </c>
      <c r="F702" s="51">
        <f>F703</f>
        <v>0</v>
      </c>
    </row>
    <row r="703" spans="1:6" s="20" customFormat="1" ht="16.5" customHeight="1">
      <c r="A703" s="252" t="s">
        <v>217</v>
      </c>
      <c r="B703" s="305" t="s">
        <v>315</v>
      </c>
      <c r="C703" s="251" t="s">
        <v>215</v>
      </c>
      <c r="D703" s="51">
        <v>904.8</v>
      </c>
      <c r="E703" s="51">
        <v>904.8</v>
      </c>
      <c r="F703" s="51">
        <f>D703-E703</f>
        <v>0</v>
      </c>
    </row>
    <row r="704" spans="1:6" s="20" customFormat="1" ht="12.75">
      <c r="A704" s="279" t="s">
        <v>453</v>
      </c>
      <c r="B704" s="248" t="s">
        <v>452</v>
      </c>
      <c r="C704" s="286"/>
      <c r="D704" s="50">
        <f>D705</f>
        <v>210</v>
      </c>
      <c r="E704" s="50">
        <f>E705</f>
        <v>210</v>
      </c>
      <c r="F704" s="50">
        <f>F705</f>
        <v>0</v>
      </c>
    </row>
    <row r="705" spans="1:6" s="20" customFormat="1" ht="24">
      <c r="A705" s="253" t="s">
        <v>111</v>
      </c>
      <c r="B705" s="250" t="s">
        <v>457</v>
      </c>
      <c r="C705" s="277"/>
      <c r="D705" s="324">
        <f>D706+D708</f>
        <v>210</v>
      </c>
      <c r="E705" s="324">
        <f>E706+E708</f>
        <v>210</v>
      </c>
      <c r="F705" s="324">
        <f>F706+F708</f>
        <v>0</v>
      </c>
    </row>
    <row r="706" spans="1:6" s="20" customFormat="1" ht="12.75" customHeight="1">
      <c r="A706" s="252" t="s">
        <v>264</v>
      </c>
      <c r="B706" s="250" t="s">
        <v>457</v>
      </c>
      <c r="C706" s="58">
        <v>200</v>
      </c>
      <c r="D706" s="321">
        <f>D707</f>
        <v>10</v>
      </c>
      <c r="E706" s="321">
        <f>E707</f>
        <v>10</v>
      </c>
      <c r="F706" s="321">
        <f>F707</f>
        <v>0</v>
      </c>
    </row>
    <row r="707" spans="1:6" s="20" customFormat="1" ht="16.5" customHeight="1">
      <c r="A707" s="252" t="s">
        <v>217</v>
      </c>
      <c r="B707" s="250" t="s">
        <v>457</v>
      </c>
      <c r="C707" s="58">
        <v>240</v>
      </c>
      <c r="D707" s="321">
        <v>10</v>
      </c>
      <c r="E707" s="321">
        <v>10</v>
      </c>
      <c r="F707" s="51">
        <f>D707-E707</f>
        <v>0</v>
      </c>
    </row>
    <row r="708" spans="1:6" s="20" customFormat="1" ht="12.75" customHeight="1">
      <c r="A708" s="252" t="s">
        <v>102</v>
      </c>
      <c r="B708" s="250" t="s">
        <v>457</v>
      </c>
      <c r="C708" s="58">
        <v>300</v>
      </c>
      <c r="D708" s="321">
        <f>D709</f>
        <v>200</v>
      </c>
      <c r="E708" s="321">
        <f>E709</f>
        <v>200</v>
      </c>
      <c r="F708" s="321">
        <f>F709</f>
        <v>0</v>
      </c>
    </row>
    <row r="709" spans="1:6" s="20" customFormat="1" ht="12.75" customHeight="1">
      <c r="A709" s="252" t="s">
        <v>578</v>
      </c>
      <c r="B709" s="250" t="s">
        <v>457</v>
      </c>
      <c r="C709" s="58">
        <v>310</v>
      </c>
      <c r="D709" s="321">
        <v>200</v>
      </c>
      <c r="E709" s="321">
        <v>200</v>
      </c>
      <c r="F709" s="51">
        <f>D709-E709</f>
        <v>0</v>
      </c>
    </row>
    <row r="710" spans="1:6" s="26" customFormat="1" ht="24">
      <c r="A710" s="247" t="s">
        <v>585</v>
      </c>
      <c r="B710" s="309" t="s">
        <v>478</v>
      </c>
      <c r="C710" s="249"/>
      <c r="D710" s="50">
        <f>D711</f>
        <v>7121.3</v>
      </c>
      <c r="E710" s="50">
        <f>E711</f>
        <v>7121.3</v>
      </c>
      <c r="F710" s="50">
        <f>F711</f>
        <v>0</v>
      </c>
    </row>
    <row r="711" spans="1:6" s="26" customFormat="1" ht="12.75">
      <c r="A711" s="170" t="s">
        <v>138</v>
      </c>
      <c r="B711" s="305" t="s">
        <v>479</v>
      </c>
      <c r="C711" s="251"/>
      <c r="D711" s="51">
        <f>D712+D714</f>
        <v>7121.3</v>
      </c>
      <c r="E711" s="51">
        <f>E712+E714</f>
        <v>7121.3</v>
      </c>
      <c r="F711" s="51">
        <f>F712+F714</f>
        <v>0</v>
      </c>
    </row>
    <row r="712" spans="1:6" s="26" customFormat="1" ht="36" customHeight="1">
      <c r="A712" s="252" t="s">
        <v>139</v>
      </c>
      <c r="B712" s="305" t="s">
        <v>479</v>
      </c>
      <c r="C712" s="251" t="s">
        <v>228</v>
      </c>
      <c r="D712" s="51">
        <f>D713</f>
        <v>6900</v>
      </c>
      <c r="E712" s="51">
        <f>E713</f>
        <v>6900</v>
      </c>
      <c r="F712" s="51">
        <f>F713</f>
        <v>0</v>
      </c>
    </row>
    <row r="713" spans="1:6" s="26" customFormat="1" ht="12.75" customHeight="1">
      <c r="A713" s="169" t="s">
        <v>223</v>
      </c>
      <c r="B713" s="305" t="s">
        <v>479</v>
      </c>
      <c r="C713" s="251" t="s">
        <v>224</v>
      </c>
      <c r="D713" s="51">
        <f>5908.3+130+676.8+184.9</f>
        <v>6900</v>
      </c>
      <c r="E713" s="51">
        <f>5908.3+130+676.8+184.9</f>
        <v>6900</v>
      </c>
      <c r="F713" s="51">
        <f>D713-E713</f>
        <v>0</v>
      </c>
    </row>
    <row r="714" spans="1:6" s="26" customFormat="1" ht="12.75" customHeight="1">
      <c r="A714" s="252" t="s">
        <v>264</v>
      </c>
      <c r="B714" s="305" t="s">
        <v>479</v>
      </c>
      <c r="C714" s="251" t="s">
        <v>216</v>
      </c>
      <c r="D714" s="51">
        <f>D715</f>
        <v>221.3</v>
      </c>
      <c r="E714" s="51">
        <f>E715</f>
        <v>221.3</v>
      </c>
      <c r="F714" s="51">
        <f>F715</f>
        <v>0</v>
      </c>
    </row>
    <row r="715" spans="1:6" s="26" customFormat="1" ht="15.75" customHeight="1">
      <c r="A715" s="252" t="s">
        <v>217</v>
      </c>
      <c r="B715" s="305" t="s">
        <v>479</v>
      </c>
      <c r="C715" s="251" t="s">
        <v>215</v>
      </c>
      <c r="D715" s="51">
        <v>221.3</v>
      </c>
      <c r="E715" s="51">
        <v>221.3</v>
      </c>
      <c r="F715" s="51">
        <f>D715-E715</f>
        <v>0</v>
      </c>
    </row>
    <row r="716" spans="1:6" s="26" customFormat="1" ht="24">
      <c r="A716" s="247" t="s">
        <v>402</v>
      </c>
      <c r="B716" s="248" t="s">
        <v>403</v>
      </c>
      <c r="C716" s="302"/>
      <c r="D716" s="320">
        <f>D717+D722+D727</f>
        <v>90284.3</v>
      </c>
      <c r="E716" s="320">
        <f>E717+E722+E727</f>
        <v>90284.3</v>
      </c>
      <c r="F716" s="320">
        <f>F717+F722+F727</f>
        <v>0</v>
      </c>
    </row>
    <row r="717" spans="1:6" s="26" customFormat="1" ht="48">
      <c r="A717" s="170" t="s">
        <v>406</v>
      </c>
      <c r="B717" s="250" t="s">
        <v>404</v>
      </c>
      <c r="C717" s="311"/>
      <c r="D717" s="321">
        <f>D718+D720</f>
        <v>88478.3</v>
      </c>
      <c r="E717" s="321">
        <f>E718+E720</f>
        <v>88478.3</v>
      </c>
      <c r="F717" s="321">
        <f>F718+F720</f>
        <v>0</v>
      </c>
    </row>
    <row r="718" spans="1:6" s="26" customFormat="1" ht="12.75" customHeight="1">
      <c r="A718" s="253" t="s">
        <v>107</v>
      </c>
      <c r="B718" s="250" t="s">
        <v>404</v>
      </c>
      <c r="C718" s="251" t="s">
        <v>100</v>
      </c>
      <c r="D718" s="321">
        <f aca="true" t="shared" si="130" ref="D718:F720">D719</f>
        <v>278.3</v>
      </c>
      <c r="E718" s="321">
        <f t="shared" si="130"/>
        <v>278.3</v>
      </c>
      <c r="F718" s="321">
        <f t="shared" si="130"/>
        <v>0</v>
      </c>
    </row>
    <row r="719" spans="1:6" s="17" customFormat="1" ht="12.75" customHeight="1">
      <c r="A719" s="284" t="s">
        <v>242</v>
      </c>
      <c r="B719" s="250" t="s">
        <v>404</v>
      </c>
      <c r="C719" s="251" t="s">
        <v>243</v>
      </c>
      <c r="D719" s="323">
        <v>278.3</v>
      </c>
      <c r="E719" s="323">
        <v>278.3</v>
      </c>
      <c r="F719" s="51">
        <f>D719-E719</f>
        <v>0</v>
      </c>
    </row>
    <row r="720" spans="1:6" s="26" customFormat="1" ht="12.75" customHeight="1">
      <c r="A720" s="252" t="s">
        <v>102</v>
      </c>
      <c r="B720" s="250" t="s">
        <v>404</v>
      </c>
      <c r="C720" s="251" t="s">
        <v>98</v>
      </c>
      <c r="D720" s="321">
        <f t="shared" si="130"/>
        <v>88200</v>
      </c>
      <c r="E720" s="321">
        <f t="shared" si="130"/>
        <v>88200</v>
      </c>
      <c r="F720" s="321">
        <f t="shared" si="130"/>
        <v>0</v>
      </c>
    </row>
    <row r="721" spans="1:6" s="17" customFormat="1" ht="12.75" customHeight="1">
      <c r="A721" s="284" t="s">
        <v>97</v>
      </c>
      <c r="B721" s="250" t="s">
        <v>404</v>
      </c>
      <c r="C721" s="251" t="s">
        <v>99</v>
      </c>
      <c r="D721" s="323">
        <v>88200</v>
      </c>
      <c r="E721" s="323">
        <v>88200</v>
      </c>
      <c r="F721" s="51">
        <f>D721-E721</f>
        <v>0</v>
      </c>
    </row>
    <row r="722" spans="1:6" s="17" customFormat="1" ht="48">
      <c r="A722" s="170" t="s">
        <v>407</v>
      </c>
      <c r="B722" s="250" t="s">
        <v>405</v>
      </c>
      <c r="C722" s="311"/>
      <c r="D722" s="321">
        <f>D723+D725</f>
        <v>1805.4</v>
      </c>
      <c r="E722" s="321">
        <f>E723+E725</f>
        <v>1805.4</v>
      </c>
      <c r="F722" s="321">
        <f>F723+F725</f>
        <v>0</v>
      </c>
    </row>
    <row r="723" spans="1:6" s="17" customFormat="1" ht="12.75" customHeight="1">
      <c r="A723" s="253" t="s">
        <v>107</v>
      </c>
      <c r="B723" s="250" t="s">
        <v>405</v>
      </c>
      <c r="C723" s="251" t="s">
        <v>100</v>
      </c>
      <c r="D723" s="321">
        <f>D724</f>
        <v>5.4</v>
      </c>
      <c r="E723" s="321">
        <f>E724</f>
        <v>5.4</v>
      </c>
      <c r="F723" s="321">
        <f>F724</f>
        <v>0</v>
      </c>
    </row>
    <row r="724" spans="1:6" s="17" customFormat="1" ht="12.75" customHeight="1">
      <c r="A724" s="284" t="s">
        <v>242</v>
      </c>
      <c r="B724" s="250" t="s">
        <v>405</v>
      </c>
      <c r="C724" s="251" t="s">
        <v>243</v>
      </c>
      <c r="D724" s="323">
        <v>5.4</v>
      </c>
      <c r="E724" s="323">
        <v>5.4</v>
      </c>
      <c r="F724" s="51">
        <f>D724-E724</f>
        <v>0</v>
      </c>
    </row>
    <row r="725" spans="1:6" s="17" customFormat="1" ht="12.75" customHeight="1">
      <c r="A725" s="252" t="s">
        <v>102</v>
      </c>
      <c r="B725" s="250" t="s">
        <v>405</v>
      </c>
      <c r="C725" s="251" t="s">
        <v>98</v>
      </c>
      <c r="D725" s="321">
        <f>D726</f>
        <v>1800</v>
      </c>
      <c r="E725" s="321">
        <f>E726</f>
        <v>1800</v>
      </c>
      <c r="F725" s="321">
        <f>F726</f>
        <v>0</v>
      </c>
    </row>
    <row r="726" spans="1:6" s="17" customFormat="1" ht="12.75" customHeight="1">
      <c r="A726" s="284" t="s">
        <v>97</v>
      </c>
      <c r="B726" s="250" t="s">
        <v>405</v>
      </c>
      <c r="C726" s="251" t="s">
        <v>99</v>
      </c>
      <c r="D726" s="323">
        <v>1800</v>
      </c>
      <c r="E726" s="323">
        <v>1800</v>
      </c>
      <c r="F726" s="51">
        <f>D726-E726</f>
        <v>0</v>
      </c>
    </row>
    <row r="727" spans="1:6" s="17" customFormat="1" ht="36">
      <c r="A727" s="273" t="s">
        <v>640</v>
      </c>
      <c r="B727" s="292" t="s">
        <v>639</v>
      </c>
      <c r="C727" s="311"/>
      <c r="D727" s="321">
        <f aca="true" t="shared" si="131" ref="D727:F728">D728</f>
        <v>0.6</v>
      </c>
      <c r="E727" s="321">
        <f t="shared" si="131"/>
        <v>0.6</v>
      </c>
      <c r="F727" s="321">
        <f t="shared" si="131"/>
        <v>0</v>
      </c>
    </row>
    <row r="728" spans="1:6" s="17" customFormat="1" ht="12.75" customHeight="1">
      <c r="A728" s="253" t="s">
        <v>107</v>
      </c>
      <c r="B728" s="292" t="s">
        <v>639</v>
      </c>
      <c r="C728" s="251" t="s">
        <v>100</v>
      </c>
      <c r="D728" s="321">
        <f t="shared" si="131"/>
        <v>0.6</v>
      </c>
      <c r="E728" s="321">
        <f t="shared" si="131"/>
        <v>0.6</v>
      </c>
      <c r="F728" s="321">
        <f t="shared" si="131"/>
        <v>0</v>
      </c>
    </row>
    <row r="729" spans="1:6" s="17" customFormat="1" ht="12.75" customHeight="1">
      <c r="A729" s="284" t="s">
        <v>242</v>
      </c>
      <c r="B729" s="292" t="s">
        <v>639</v>
      </c>
      <c r="C729" s="251" t="s">
        <v>243</v>
      </c>
      <c r="D729" s="323">
        <v>0.6</v>
      </c>
      <c r="E729" s="323">
        <v>0.6</v>
      </c>
      <c r="F729" s="51">
        <f>D729-E729</f>
        <v>0</v>
      </c>
    </row>
    <row r="730" spans="1:6" s="17" customFormat="1" ht="12.75">
      <c r="A730" s="247" t="s">
        <v>480</v>
      </c>
      <c r="B730" s="248" t="s">
        <v>74</v>
      </c>
      <c r="C730" s="302"/>
      <c r="D730" s="320">
        <f>D731+D735</f>
        <v>2550.5</v>
      </c>
      <c r="E730" s="320">
        <f>E731+E735</f>
        <v>2550.5</v>
      </c>
      <c r="F730" s="320">
        <f>F731+F735</f>
        <v>0</v>
      </c>
    </row>
    <row r="731" spans="1:6" s="17" customFormat="1" ht="13.5" customHeight="1">
      <c r="A731" s="170" t="s">
        <v>492</v>
      </c>
      <c r="B731" s="250" t="s">
        <v>75</v>
      </c>
      <c r="C731" s="311"/>
      <c r="D731" s="321">
        <f aca="true" t="shared" si="132" ref="D731:F733">D732</f>
        <v>1242.5</v>
      </c>
      <c r="E731" s="321">
        <f t="shared" si="132"/>
        <v>1242.5</v>
      </c>
      <c r="F731" s="321">
        <f t="shared" si="132"/>
        <v>0</v>
      </c>
    </row>
    <row r="732" spans="1:6" s="17" customFormat="1" ht="12.75">
      <c r="A732" s="253" t="s">
        <v>123</v>
      </c>
      <c r="B732" s="250" t="s">
        <v>76</v>
      </c>
      <c r="C732" s="311"/>
      <c r="D732" s="321">
        <f t="shared" si="132"/>
        <v>1242.5</v>
      </c>
      <c r="E732" s="321">
        <f t="shared" si="132"/>
        <v>1242.5</v>
      </c>
      <c r="F732" s="321">
        <f t="shared" si="132"/>
        <v>0</v>
      </c>
    </row>
    <row r="733" spans="1:6" s="17" customFormat="1" ht="36" customHeight="1">
      <c r="A733" s="252" t="s">
        <v>139</v>
      </c>
      <c r="B733" s="250" t="s">
        <v>76</v>
      </c>
      <c r="C733" s="251" t="s">
        <v>228</v>
      </c>
      <c r="D733" s="321">
        <f t="shared" si="132"/>
        <v>1242.5</v>
      </c>
      <c r="E733" s="321">
        <f t="shared" si="132"/>
        <v>1242.5</v>
      </c>
      <c r="F733" s="321">
        <f t="shared" si="132"/>
        <v>0</v>
      </c>
    </row>
    <row r="734" spans="1:6" s="17" customFormat="1" ht="12.75" customHeight="1">
      <c r="A734" s="169" t="s">
        <v>223</v>
      </c>
      <c r="B734" s="250" t="s">
        <v>76</v>
      </c>
      <c r="C734" s="251" t="s">
        <v>224</v>
      </c>
      <c r="D734" s="323">
        <f>1139+103.5</f>
        <v>1242.5</v>
      </c>
      <c r="E734" s="323">
        <f>1139+103.5</f>
        <v>1242.5</v>
      </c>
      <c r="F734" s="51">
        <f>D734-E734</f>
        <v>0</v>
      </c>
    </row>
    <row r="735" spans="1:6" s="17" customFormat="1" ht="12.75">
      <c r="A735" s="88" t="s">
        <v>415</v>
      </c>
      <c r="B735" s="250" t="s">
        <v>77</v>
      </c>
      <c r="C735" s="251"/>
      <c r="D735" s="323">
        <f>D736</f>
        <v>1308</v>
      </c>
      <c r="E735" s="323">
        <f>E736</f>
        <v>1308</v>
      </c>
      <c r="F735" s="323">
        <f>F736</f>
        <v>0</v>
      </c>
    </row>
    <row r="736" spans="1:6" s="17" customFormat="1" ht="20.25" customHeight="1">
      <c r="A736" s="253" t="s">
        <v>123</v>
      </c>
      <c r="B736" s="250" t="s">
        <v>78</v>
      </c>
      <c r="C736" s="311"/>
      <c r="D736" s="321">
        <f>D737+D739</f>
        <v>1308</v>
      </c>
      <c r="E736" s="321">
        <f>E737+E739</f>
        <v>1308</v>
      </c>
      <c r="F736" s="321">
        <f>F737+F739</f>
        <v>0</v>
      </c>
    </row>
    <row r="737" spans="1:6" s="17" customFormat="1" ht="36" customHeight="1">
      <c r="A737" s="252" t="s">
        <v>139</v>
      </c>
      <c r="B737" s="250" t="s">
        <v>78</v>
      </c>
      <c r="C737" s="251" t="s">
        <v>228</v>
      </c>
      <c r="D737" s="321">
        <f>D738</f>
        <v>1078</v>
      </c>
      <c r="E737" s="321">
        <f>E738</f>
        <v>1090</v>
      </c>
      <c r="F737" s="321">
        <f>F738</f>
        <v>-12</v>
      </c>
    </row>
    <row r="738" spans="1:6" s="17" customFormat="1" ht="12.75" customHeight="1">
      <c r="A738" s="169" t="s">
        <v>223</v>
      </c>
      <c r="B738" s="250" t="s">
        <v>78</v>
      </c>
      <c r="C738" s="251" t="s">
        <v>224</v>
      </c>
      <c r="D738" s="323">
        <v>1078</v>
      </c>
      <c r="E738" s="323">
        <f>728.5+396.5-35</f>
        <v>1090</v>
      </c>
      <c r="F738" s="51">
        <f>D738-E738</f>
        <v>-12</v>
      </c>
    </row>
    <row r="739" spans="1:6" s="17" customFormat="1" ht="11.25" customHeight="1">
      <c r="A739" s="252" t="s">
        <v>264</v>
      </c>
      <c r="B739" s="250" t="s">
        <v>78</v>
      </c>
      <c r="C739" s="251" t="s">
        <v>216</v>
      </c>
      <c r="D739" s="51">
        <f>D740</f>
        <v>230</v>
      </c>
      <c r="E739" s="51">
        <f>E740</f>
        <v>218</v>
      </c>
      <c r="F739" s="51">
        <f>F740</f>
        <v>12</v>
      </c>
    </row>
    <row r="740" spans="1:6" s="17" customFormat="1" ht="12.75" customHeight="1">
      <c r="A740" s="252" t="s">
        <v>217</v>
      </c>
      <c r="B740" s="250" t="s">
        <v>78</v>
      </c>
      <c r="C740" s="251" t="s">
        <v>215</v>
      </c>
      <c r="D740" s="51">
        <v>230</v>
      </c>
      <c r="E740" s="51">
        <f>133+35+50</f>
        <v>218</v>
      </c>
      <c r="F740" s="51">
        <f>D740-E740</f>
        <v>12</v>
      </c>
    </row>
    <row r="741" spans="1:6" s="84" customFormat="1" ht="12.75" customHeight="1">
      <c r="A741" s="285" t="s">
        <v>623</v>
      </c>
      <c r="B741" s="312" t="s">
        <v>624</v>
      </c>
      <c r="C741" s="249"/>
      <c r="D741" s="50">
        <f>D742</f>
        <v>3970</v>
      </c>
      <c r="E741" s="50">
        <f>E742</f>
        <v>3970</v>
      </c>
      <c r="F741" s="328">
        <f>F742</f>
        <v>0</v>
      </c>
    </row>
    <row r="742" spans="1:6" s="84" customFormat="1" ht="12.75" customHeight="1">
      <c r="A742" s="313" t="s">
        <v>625</v>
      </c>
      <c r="B742" s="314" t="s">
        <v>626</v>
      </c>
      <c r="C742" s="260"/>
      <c r="D742" s="50">
        <f>D744+D746</f>
        <v>3970</v>
      </c>
      <c r="E742" s="50">
        <f>E744+E746</f>
        <v>3970</v>
      </c>
      <c r="F742" s="329">
        <f>F744+F746</f>
        <v>0</v>
      </c>
    </row>
    <row r="743" spans="1:6" s="84" customFormat="1" ht="12.75" customHeight="1">
      <c r="A743" s="315" t="s">
        <v>627</v>
      </c>
      <c r="B743" s="268" t="s">
        <v>628</v>
      </c>
      <c r="C743" s="260"/>
      <c r="D743" s="51">
        <f aca="true" t="shared" si="133" ref="D743:F747">D744</f>
        <v>470</v>
      </c>
      <c r="E743" s="51">
        <f t="shared" si="133"/>
        <v>470</v>
      </c>
      <c r="F743" s="322">
        <f t="shared" si="133"/>
        <v>0</v>
      </c>
    </row>
    <row r="744" spans="1:6" s="84" customFormat="1" ht="12.75" customHeight="1">
      <c r="A744" s="315" t="s">
        <v>107</v>
      </c>
      <c r="B744" s="268" t="s">
        <v>628</v>
      </c>
      <c r="C744" s="260" t="s">
        <v>100</v>
      </c>
      <c r="D744" s="51">
        <f t="shared" si="133"/>
        <v>470</v>
      </c>
      <c r="E744" s="51">
        <f t="shared" si="133"/>
        <v>470</v>
      </c>
      <c r="F744" s="322">
        <f t="shared" si="133"/>
        <v>0</v>
      </c>
    </row>
    <row r="745" spans="1:6" s="84" customFormat="1" ht="12.75" customHeight="1">
      <c r="A745" s="316" t="s">
        <v>629</v>
      </c>
      <c r="B745" s="268" t="s">
        <v>628</v>
      </c>
      <c r="C745" s="260" t="s">
        <v>630</v>
      </c>
      <c r="D745" s="51">
        <v>470</v>
      </c>
      <c r="E745" s="51">
        <v>470</v>
      </c>
      <c r="F745" s="51">
        <f>D745-E745</f>
        <v>0</v>
      </c>
    </row>
    <row r="746" spans="1:6" s="84" customFormat="1" ht="24">
      <c r="A746" s="315" t="s">
        <v>652</v>
      </c>
      <c r="B746" s="268" t="s">
        <v>628</v>
      </c>
      <c r="C746" s="260"/>
      <c r="D746" s="51">
        <f t="shared" si="133"/>
        <v>3500</v>
      </c>
      <c r="E746" s="51">
        <f t="shared" si="133"/>
        <v>3500</v>
      </c>
      <c r="F746" s="322">
        <f t="shared" si="133"/>
        <v>0</v>
      </c>
    </row>
    <row r="747" spans="1:6" s="84" customFormat="1" ht="12.75" customHeight="1">
      <c r="A747" s="315" t="s">
        <v>107</v>
      </c>
      <c r="B747" s="268" t="s">
        <v>628</v>
      </c>
      <c r="C747" s="260" t="s">
        <v>100</v>
      </c>
      <c r="D747" s="51">
        <f t="shared" si="133"/>
        <v>3500</v>
      </c>
      <c r="E747" s="51">
        <f t="shared" si="133"/>
        <v>3500</v>
      </c>
      <c r="F747" s="322">
        <f t="shared" si="133"/>
        <v>0</v>
      </c>
    </row>
    <row r="748" spans="1:6" s="84" customFormat="1" ht="12.75" customHeight="1">
      <c r="A748" s="316" t="s">
        <v>629</v>
      </c>
      <c r="B748" s="268" t="s">
        <v>628</v>
      </c>
      <c r="C748" s="260" t="s">
        <v>630</v>
      </c>
      <c r="D748" s="51">
        <v>3500</v>
      </c>
      <c r="E748" s="51">
        <v>3500</v>
      </c>
      <c r="F748" s="51">
        <f>D748-E748</f>
        <v>0</v>
      </c>
    </row>
    <row r="749" spans="1:6" s="17" customFormat="1" ht="12" customHeight="1">
      <c r="A749" s="285" t="s">
        <v>498</v>
      </c>
      <c r="B749" s="248" t="s">
        <v>80</v>
      </c>
      <c r="C749" s="302"/>
      <c r="D749" s="320">
        <f>D750+D754</f>
        <v>2441</v>
      </c>
      <c r="E749" s="320">
        <f>E750+E754</f>
        <v>2441</v>
      </c>
      <c r="F749" s="320">
        <f>F750+F754</f>
        <v>0</v>
      </c>
    </row>
    <row r="750" spans="1:6" s="17" customFormat="1" ht="24">
      <c r="A750" s="253" t="s">
        <v>499</v>
      </c>
      <c r="B750" s="250" t="s">
        <v>81</v>
      </c>
      <c r="C750" s="311"/>
      <c r="D750" s="321">
        <f aca="true" t="shared" si="134" ref="D750:F752">D751</f>
        <v>1354</v>
      </c>
      <c r="E750" s="321">
        <f t="shared" si="134"/>
        <v>1354</v>
      </c>
      <c r="F750" s="321">
        <f t="shared" si="134"/>
        <v>0</v>
      </c>
    </row>
    <row r="751" spans="1:6" s="17" customFormat="1" ht="12.75">
      <c r="A751" s="253" t="s">
        <v>123</v>
      </c>
      <c r="B751" s="250" t="s">
        <v>82</v>
      </c>
      <c r="C751" s="311"/>
      <c r="D751" s="321">
        <f t="shared" si="134"/>
        <v>1354</v>
      </c>
      <c r="E751" s="321">
        <f t="shared" si="134"/>
        <v>1354</v>
      </c>
      <c r="F751" s="321">
        <f t="shared" si="134"/>
        <v>0</v>
      </c>
    </row>
    <row r="752" spans="1:6" s="17" customFormat="1" ht="36" customHeight="1">
      <c r="A752" s="252" t="s">
        <v>139</v>
      </c>
      <c r="B752" s="250" t="s">
        <v>82</v>
      </c>
      <c r="C752" s="251" t="s">
        <v>228</v>
      </c>
      <c r="D752" s="321">
        <f t="shared" si="134"/>
        <v>1354</v>
      </c>
      <c r="E752" s="321">
        <f t="shared" si="134"/>
        <v>1354</v>
      </c>
      <c r="F752" s="321">
        <f t="shared" si="134"/>
        <v>0</v>
      </c>
    </row>
    <row r="753" spans="1:6" s="17" customFormat="1" ht="12.75" customHeight="1">
      <c r="A753" s="169" t="s">
        <v>223</v>
      </c>
      <c r="B753" s="250" t="s">
        <v>82</v>
      </c>
      <c r="C753" s="251" t="s">
        <v>224</v>
      </c>
      <c r="D753" s="323">
        <f>1114.7+176.3+63</f>
        <v>1354</v>
      </c>
      <c r="E753" s="323">
        <f>1114.7+176.3+63</f>
        <v>1354</v>
      </c>
      <c r="F753" s="51">
        <f>D753-E753</f>
        <v>0</v>
      </c>
    </row>
    <row r="754" spans="1:6" s="17" customFormat="1" ht="12.75">
      <c r="A754" s="88" t="s">
        <v>500</v>
      </c>
      <c r="B754" s="250" t="s">
        <v>83</v>
      </c>
      <c r="C754" s="251"/>
      <c r="D754" s="323">
        <f>D755+D760</f>
        <v>1087</v>
      </c>
      <c r="E754" s="323">
        <f>E755+E760</f>
        <v>1087</v>
      </c>
      <c r="F754" s="323">
        <f>F755+F760</f>
        <v>0</v>
      </c>
    </row>
    <row r="755" spans="1:6" s="17" customFormat="1" ht="12.75">
      <c r="A755" s="253" t="s">
        <v>123</v>
      </c>
      <c r="B755" s="250" t="s">
        <v>84</v>
      </c>
      <c r="C755" s="311"/>
      <c r="D755" s="321">
        <f>D756+D758</f>
        <v>170.39999999999998</v>
      </c>
      <c r="E755" s="321">
        <f>E756+E758</f>
        <v>170.39999999999998</v>
      </c>
      <c r="F755" s="321">
        <f>F756+F758</f>
        <v>0</v>
      </c>
    </row>
    <row r="756" spans="1:6" s="17" customFormat="1" ht="36">
      <c r="A756" s="252" t="s">
        <v>139</v>
      </c>
      <c r="B756" s="250" t="s">
        <v>84</v>
      </c>
      <c r="C756" s="251" t="s">
        <v>228</v>
      </c>
      <c r="D756" s="321">
        <f>D757</f>
        <v>84.8</v>
      </c>
      <c r="E756" s="321">
        <f>E757</f>
        <v>84.8</v>
      </c>
      <c r="F756" s="321">
        <f>F757</f>
        <v>0</v>
      </c>
    </row>
    <row r="757" spans="1:6" s="17" customFormat="1" ht="12.75" customHeight="1">
      <c r="A757" s="169" t="s">
        <v>223</v>
      </c>
      <c r="B757" s="250" t="s">
        <v>84</v>
      </c>
      <c r="C757" s="251" t="s">
        <v>224</v>
      </c>
      <c r="D757" s="323">
        <v>84.8</v>
      </c>
      <c r="E757" s="323">
        <v>84.8</v>
      </c>
      <c r="F757" s="51">
        <f>D757-E757</f>
        <v>0</v>
      </c>
    </row>
    <row r="758" spans="1:6" s="17" customFormat="1" ht="16.5" customHeight="1">
      <c r="A758" s="252" t="s">
        <v>264</v>
      </c>
      <c r="B758" s="250" t="s">
        <v>84</v>
      </c>
      <c r="C758" s="251" t="s">
        <v>216</v>
      </c>
      <c r="D758" s="51">
        <f>D759</f>
        <v>85.6</v>
      </c>
      <c r="E758" s="51">
        <f>E759</f>
        <v>85.6</v>
      </c>
      <c r="F758" s="51">
        <f>F759</f>
        <v>0</v>
      </c>
    </row>
    <row r="759" spans="1:6" s="17" customFormat="1" ht="17.25" customHeight="1">
      <c r="A759" s="252" t="s">
        <v>217</v>
      </c>
      <c r="B759" s="250" t="s">
        <v>84</v>
      </c>
      <c r="C759" s="251" t="s">
        <v>215</v>
      </c>
      <c r="D759" s="51">
        <v>85.6</v>
      </c>
      <c r="E759" s="51">
        <v>85.6</v>
      </c>
      <c r="F759" s="51">
        <f>D759-E759</f>
        <v>0</v>
      </c>
    </row>
    <row r="760" spans="1:6" s="17" customFormat="1" ht="23.25" customHeight="1">
      <c r="A760" s="253" t="s">
        <v>124</v>
      </c>
      <c r="B760" s="250" t="s">
        <v>85</v>
      </c>
      <c r="C760" s="311"/>
      <c r="D760" s="321">
        <f aca="true" t="shared" si="135" ref="D760:F761">D761</f>
        <v>916.6</v>
      </c>
      <c r="E760" s="321">
        <f t="shared" si="135"/>
        <v>916.6</v>
      </c>
      <c r="F760" s="321">
        <f t="shared" si="135"/>
        <v>0</v>
      </c>
    </row>
    <row r="761" spans="1:6" s="17" customFormat="1" ht="36" customHeight="1">
      <c r="A761" s="252" t="s">
        <v>139</v>
      </c>
      <c r="B761" s="250" t="s">
        <v>85</v>
      </c>
      <c r="C761" s="251" t="s">
        <v>228</v>
      </c>
      <c r="D761" s="321">
        <f t="shared" si="135"/>
        <v>916.6</v>
      </c>
      <c r="E761" s="321">
        <f t="shared" si="135"/>
        <v>916.6</v>
      </c>
      <c r="F761" s="321">
        <f t="shared" si="135"/>
        <v>0</v>
      </c>
    </row>
    <row r="762" spans="1:6" s="17" customFormat="1" ht="12.75" customHeight="1">
      <c r="A762" s="169" t="s">
        <v>223</v>
      </c>
      <c r="B762" s="250" t="s">
        <v>85</v>
      </c>
      <c r="C762" s="251" t="s">
        <v>224</v>
      </c>
      <c r="D762" s="323">
        <v>916.6</v>
      </c>
      <c r="E762" s="323">
        <v>916.6</v>
      </c>
      <c r="F762" s="51">
        <f>D762-E762</f>
        <v>0</v>
      </c>
    </row>
    <row r="763" spans="1:6" s="17" customFormat="1" ht="12.75">
      <c r="A763" s="247" t="s">
        <v>26</v>
      </c>
      <c r="B763" s="248" t="s">
        <v>27</v>
      </c>
      <c r="C763" s="286"/>
      <c r="D763" s="50">
        <f>D764</f>
        <v>1065.7</v>
      </c>
      <c r="E763" s="50">
        <f>E764</f>
        <v>1065.7</v>
      </c>
      <c r="F763" s="50">
        <f>F764</f>
        <v>0</v>
      </c>
    </row>
    <row r="764" spans="1:6" s="17" customFormat="1" ht="12.75">
      <c r="A764" s="170" t="s">
        <v>26</v>
      </c>
      <c r="B764" s="250" t="s">
        <v>247</v>
      </c>
      <c r="C764" s="251"/>
      <c r="D764" s="51">
        <f>D765+D767</f>
        <v>1065.7</v>
      </c>
      <c r="E764" s="51">
        <f>E765+E767</f>
        <v>1065.7</v>
      </c>
      <c r="F764" s="51">
        <f>F765+F767</f>
        <v>0</v>
      </c>
    </row>
    <row r="765" spans="1:6" s="17" customFormat="1" ht="12.75" customHeight="1">
      <c r="A765" s="252" t="s">
        <v>264</v>
      </c>
      <c r="B765" s="250" t="s">
        <v>247</v>
      </c>
      <c r="C765" s="251" t="s">
        <v>216</v>
      </c>
      <c r="D765" s="51">
        <f>SUM(D766)</f>
        <v>15.7</v>
      </c>
      <c r="E765" s="51">
        <f>SUM(E766)</f>
        <v>15.7</v>
      </c>
      <c r="F765" s="51">
        <f>SUM(F766)</f>
        <v>0</v>
      </c>
    </row>
    <row r="766" spans="1:6" s="17" customFormat="1" ht="14.25" customHeight="1">
      <c r="A766" s="252" t="s">
        <v>217</v>
      </c>
      <c r="B766" s="250" t="s">
        <v>247</v>
      </c>
      <c r="C766" s="251" t="s">
        <v>215</v>
      </c>
      <c r="D766" s="51">
        <v>15.7</v>
      </c>
      <c r="E766" s="51">
        <v>15.7</v>
      </c>
      <c r="F766" s="51">
        <f>D766-E766</f>
        <v>0</v>
      </c>
    </row>
    <row r="767" spans="1:6" s="17" customFormat="1" ht="12.75" customHeight="1">
      <c r="A767" s="253" t="s">
        <v>102</v>
      </c>
      <c r="B767" s="250" t="s">
        <v>247</v>
      </c>
      <c r="C767" s="251" t="s">
        <v>98</v>
      </c>
      <c r="D767" s="51">
        <f>SUM(D768)</f>
        <v>1050</v>
      </c>
      <c r="E767" s="51">
        <f>SUM(E768)</f>
        <v>1050</v>
      </c>
      <c r="F767" s="51">
        <f>SUM(F768)</f>
        <v>0</v>
      </c>
    </row>
    <row r="768" spans="1:6" s="17" customFormat="1" ht="12.75" customHeight="1">
      <c r="A768" s="253" t="s">
        <v>578</v>
      </c>
      <c r="B768" s="250" t="s">
        <v>247</v>
      </c>
      <c r="C768" s="251" t="s">
        <v>577</v>
      </c>
      <c r="D768" s="51">
        <v>1050</v>
      </c>
      <c r="E768" s="51">
        <v>1050</v>
      </c>
      <c r="F768" s="51">
        <f>D768-E768</f>
        <v>0</v>
      </c>
    </row>
    <row r="769" spans="1:6" s="17" customFormat="1" ht="12.75">
      <c r="A769" s="285" t="s">
        <v>187</v>
      </c>
      <c r="B769" s="309" t="s">
        <v>70</v>
      </c>
      <c r="C769" s="249"/>
      <c r="D769" s="50">
        <f aca="true" t="shared" si="136" ref="D769:F771">D770</f>
        <v>256.7</v>
      </c>
      <c r="E769" s="50">
        <f t="shared" si="136"/>
        <v>256.7</v>
      </c>
      <c r="F769" s="50">
        <f t="shared" si="136"/>
        <v>0</v>
      </c>
    </row>
    <row r="770" spans="1:6" s="17" customFormat="1" ht="14.25" customHeight="1">
      <c r="A770" s="253" t="s">
        <v>490</v>
      </c>
      <c r="B770" s="250" t="s">
        <v>71</v>
      </c>
      <c r="C770" s="306"/>
      <c r="D770" s="51">
        <f t="shared" si="136"/>
        <v>256.7</v>
      </c>
      <c r="E770" s="51">
        <f t="shared" si="136"/>
        <v>256.7</v>
      </c>
      <c r="F770" s="51">
        <f t="shared" si="136"/>
        <v>0</v>
      </c>
    </row>
    <row r="771" spans="1:6" s="17" customFormat="1" ht="14.25" customHeight="1">
      <c r="A771" s="253" t="s">
        <v>107</v>
      </c>
      <c r="B771" s="250" t="s">
        <v>71</v>
      </c>
      <c r="C771" s="306">
        <v>800</v>
      </c>
      <c r="D771" s="51">
        <f t="shared" si="136"/>
        <v>256.7</v>
      </c>
      <c r="E771" s="51">
        <f t="shared" si="136"/>
        <v>256.7</v>
      </c>
      <c r="F771" s="51">
        <f t="shared" si="136"/>
        <v>0</v>
      </c>
    </row>
    <row r="772" spans="1:6" s="17" customFormat="1" ht="12.75" customHeight="1">
      <c r="A772" s="253" t="s">
        <v>108</v>
      </c>
      <c r="B772" s="250" t="s">
        <v>71</v>
      </c>
      <c r="C772" s="306">
        <v>870</v>
      </c>
      <c r="D772" s="51">
        <v>256.7</v>
      </c>
      <c r="E772" s="51">
        <v>256.7</v>
      </c>
      <c r="F772" s="51">
        <f>D772-E772</f>
        <v>0</v>
      </c>
    </row>
    <row r="773" spans="1:6" s="17" customFormat="1" ht="24">
      <c r="A773" s="285" t="s">
        <v>349</v>
      </c>
      <c r="B773" s="309" t="s">
        <v>348</v>
      </c>
      <c r="C773" s="249"/>
      <c r="D773" s="50">
        <f>D774+D778</f>
        <v>3298.5</v>
      </c>
      <c r="E773" s="50">
        <f>E774+E778</f>
        <v>3241.5</v>
      </c>
      <c r="F773" s="50">
        <f>F774+F778</f>
        <v>57</v>
      </c>
    </row>
    <row r="774" spans="1:6" s="17" customFormat="1" ht="12.75">
      <c r="A774" s="253" t="s">
        <v>288</v>
      </c>
      <c r="B774" s="259" t="s">
        <v>350</v>
      </c>
      <c r="C774" s="306"/>
      <c r="D774" s="51">
        <f>D775</f>
        <v>3138.5</v>
      </c>
      <c r="E774" s="51">
        <f>E775</f>
        <v>3081.5</v>
      </c>
      <c r="F774" s="51">
        <f>F775</f>
        <v>57</v>
      </c>
    </row>
    <row r="775" spans="1:6" s="17" customFormat="1" ht="12.75" customHeight="1">
      <c r="A775" s="263" t="s">
        <v>107</v>
      </c>
      <c r="B775" s="259" t="s">
        <v>350</v>
      </c>
      <c r="C775" s="306">
        <v>800</v>
      </c>
      <c r="D775" s="51">
        <f>D776+D777</f>
        <v>3138.5</v>
      </c>
      <c r="E775" s="51">
        <f>E776+E777</f>
        <v>3081.5</v>
      </c>
      <c r="F775" s="51">
        <f>F776+F777</f>
        <v>57</v>
      </c>
    </row>
    <row r="776" spans="1:6" s="17" customFormat="1" ht="12.75" customHeight="1">
      <c r="A776" s="263" t="s">
        <v>351</v>
      </c>
      <c r="B776" s="259" t="s">
        <v>350</v>
      </c>
      <c r="C776" s="306">
        <v>830</v>
      </c>
      <c r="D776" s="51">
        <v>120</v>
      </c>
      <c r="E776" s="51">
        <v>120</v>
      </c>
      <c r="F776" s="51">
        <f>D776-E776</f>
        <v>0</v>
      </c>
    </row>
    <row r="777" spans="1:6" s="17" customFormat="1" ht="12.75" customHeight="1">
      <c r="A777" s="284" t="s">
        <v>242</v>
      </c>
      <c r="B777" s="259" t="s">
        <v>350</v>
      </c>
      <c r="C777" s="306">
        <v>850</v>
      </c>
      <c r="D777" s="51">
        <v>3018.5</v>
      </c>
      <c r="E777" s="51">
        <v>2961.5</v>
      </c>
      <c r="F777" s="51">
        <f>D777-E777</f>
        <v>57</v>
      </c>
    </row>
    <row r="778" spans="1:6" s="17" customFormat="1" ht="14.25" customHeight="1">
      <c r="A778" s="253" t="s">
        <v>490</v>
      </c>
      <c r="B778" s="250" t="s">
        <v>681</v>
      </c>
      <c r="C778" s="306"/>
      <c r="D778" s="51">
        <f aca="true" t="shared" si="137" ref="D778:F779">D779</f>
        <v>160</v>
      </c>
      <c r="E778" s="51">
        <f t="shared" si="137"/>
        <v>160</v>
      </c>
      <c r="F778" s="51">
        <f t="shared" si="137"/>
        <v>0</v>
      </c>
    </row>
    <row r="779" spans="1:6" s="17" customFormat="1" ht="14.25" customHeight="1">
      <c r="A779" s="252" t="s">
        <v>264</v>
      </c>
      <c r="B779" s="250" t="s">
        <v>681</v>
      </c>
      <c r="C779" s="306">
        <v>200</v>
      </c>
      <c r="D779" s="51">
        <f t="shared" si="137"/>
        <v>160</v>
      </c>
      <c r="E779" s="51">
        <f t="shared" si="137"/>
        <v>160</v>
      </c>
      <c r="F779" s="51">
        <f t="shared" si="137"/>
        <v>0</v>
      </c>
    </row>
    <row r="780" spans="1:6" s="17" customFormat="1" ht="12.75" customHeight="1">
      <c r="A780" s="252" t="s">
        <v>217</v>
      </c>
      <c r="B780" s="250" t="s">
        <v>681</v>
      </c>
      <c r="C780" s="306">
        <v>240</v>
      </c>
      <c r="D780" s="51">
        <v>160</v>
      </c>
      <c r="E780" s="51">
        <v>160</v>
      </c>
      <c r="F780" s="51">
        <f>D780-E780</f>
        <v>0</v>
      </c>
    </row>
    <row r="781" spans="1:6" s="17" customFormat="1" ht="15.75" customHeight="1">
      <c r="A781" s="317" t="s">
        <v>214</v>
      </c>
      <c r="B781" s="318"/>
      <c r="C781" s="319"/>
      <c r="D781" s="330">
        <f>D457+D5+D12+D199+D215+D220+D247+D254+D260+D276+D328+D339+D474+D483+D493+D498+D525+D539+D574+D616+D652+D730+D749+D763+D769+D633+D237+D698+D773+D716+D604+D704+D535+D710+D272+D741</f>
        <v>1591752.1940000004</v>
      </c>
      <c r="E781" s="330">
        <f>E457+E5+E12+E199+E215+E220+E247+E254+E260+E276+E328+E339+E474+E483+E493+E498+E525+E539+E574+E616+E652+E730+E749+E763+E769+E633+E237+E698+E773+E716+E604+E704+E535+E710+E272+E741</f>
        <v>1591161.9100000004</v>
      </c>
      <c r="F781" s="330">
        <f>F457+F5+F12+F199+F215+F220+F247+F254+F260+F276+F328+F339+F474+F483+F493+F498+F525+F539+F574+F616+F652+F730+F749+F763+F769+F633+F237+F698+F773+F716+F604+F704+F535+F710+F272+F741</f>
        <v>590.2839999999683</v>
      </c>
    </row>
    <row r="782" spans="1:6" s="17" customFormat="1" ht="12.75">
      <c r="A782" s="89"/>
      <c r="B782" s="91"/>
      <c r="C782" s="63"/>
      <c r="D782" s="356"/>
      <c r="E782" s="356"/>
      <c r="F782" s="95"/>
    </row>
    <row r="783" spans="1:6" s="17" customFormat="1" ht="12.75">
      <c r="A783" s="89"/>
      <c r="B783" s="91"/>
      <c r="C783" s="63"/>
      <c r="D783" s="366">
        <f>1612957.5+400</f>
        <v>1613357.5</v>
      </c>
      <c r="E783" s="366"/>
      <c r="F783" s="367"/>
    </row>
    <row r="784" spans="1:6" s="17" customFormat="1" ht="12.75">
      <c r="A784" s="89"/>
      <c r="B784" s="91"/>
      <c r="C784" s="63"/>
      <c r="D784" s="366"/>
      <c r="E784" s="366"/>
      <c r="F784" s="367"/>
    </row>
    <row r="785" spans="1:6" s="17" customFormat="1" ht="12.75">
      <c r="A785" s="89"/>
      <c r="B785" s="91"/>
      <c r="C785" s="63"/>
      <c r="D785" s="366">
        <f>D783-D781</f>
        <v>21605.305999999633</v>
      </c>
      <c r="E785" s="366"/>
      <c r="F785" s="367"/>
    </row>
    <row r="786" spans="1:6" s="17" customFormat="1" ht="12.75">
      <c r="A786" s="89"/>
      <c r="B786" s="91"/>
      <c r="C786" s="63"/>
      <c r="D786" s="366"/>
      <c r="E786" s="366"/>
      <c r="F786" s="367"/>
    </row>
    <row r="787" spans="1:6" s="17" customFormat="1" ht="12.75">
      <c r="A787" s="89"/>
      <c r="B787" s="91"/>
      <c r="C787" s="63"/>
      <c r="D787" s="366"/>
      <c r="E787" s="366"/>
      <c r="F787" s="367"/>
    </row>
    <row r="788" spans="1:6" s="17" customFormat="1" ht="12.75">
      <c r="A788" s="89"/>
      <c r="B788" s="91"/>
      <c r="C788" s="63"/>
      <c r="D788" s="366"/>
      <c r="E788" s="366"/>
      <c r="F788" s="367"/>
    </row>
    <row r="789" spans="1:6" s="17" customFormat="1" ht="12.75">
      <c r="A789" s="89"/>
      <c r="B789" s="91"/>
      <c r="C789" s="63"/>
      <c r="D789" s="366"/>
      <c r="E789" s="366"/>
      <c r="F789" s="367"/>
    </row>
    <row r="790" spans="1:6" s="17" customFormat="1" ht="12.75">
      <c r="A790" s="89"/>
      <c r="B790" s="91"/>
      <c r="C790" s="63"/>
      <c r="D790" s="366"/>
      <c r="E790" s="366"/>
      <c r="F790" s="367"/>
    </row>
    <row r="791" spans="1:6" s="17" customFormat="1" ht="12.75">
      <c r="A791" s="89"/>
      <c r="B791" s="91"/>
      <c r="C791" s="63"/>
      <c r="D791" s="366"/>
      <c r="E791" s="366"/>
      <c r="F791" s="367"/>
    </row>
    <row r="792" spans="1:6" s="17" customFormat="1" ht="12.75">
      <c r="A792" s="89"/>
      <c r="B792" s="91"/>
      <c r="C792" s="63"/>
      <c r="D792" s="366"/>
      <c r="E792" s="366"/>
      <c r="F792" s="367"/>
    </row>
    <row r="793" spans="1:6" s="17" customFormat="1" ht="12.75">
      <c r="A793" s="89"/>
      <c r="B793" s="91"/>
      <c r="C793" s="63"/>
      <c r="D793" s="366"/>
      <c r="E793" s="366"/>
      <c r="F793" s="367"/>
    </row>
    <row r="794" spans="1:6" s="17" customFormat="1" ht="12.75">
      <c r="A794" s="89"/>
      <c r="B794" s="91"/>
      <c r="C794" s="63"/>
      <c r="D794" s="366"/>
      <c r="E794" s="366"/>
      <c r="F794" s="367"/>
    </row>
    <row r="795" spans="1:6" s="17" customFormat="1" ht="12.75">
      <c r="A795" s="89"/>
      <c r="B795" s="91"/>
      <c r="C795" s="63"/>
      <c r="D795" s="366"/>
      <c r="E795" s="366"/>
      <c r="F795" s="367"/>
    </row>
    <row r="796" spans="1:6" s="13" customFormat="1" ht="15.75">
      <c r="A796" s="89"/>
      <c r="B796" s="91"/>
      <c r="C796" s="63"/>
      <c r="D796" s="366"/>
      <c r="E796" s="366"/>
      <c r="F796" s="367"/>
    </row>
    <row r="797" spans="1:6" s="13" customFormat="1" ht="15.75">
      <c r="A797" s="89"/>
      <c r="B797" s="91"/>
      <c r="C797" s="63"/>
      <c r="D797" s="366"/>
      <c r="E797" s="366"/>
      <c r="F797" s="367"/>
    </row>
    <row r="798" spans="1:6" s="13" customFormat="1" ht="15.75">
      <c r="A798" s="89"/>
      <c r="B798" s="91"/>
      <c r="C798" s="63"/>
      <c r="D798" s="366"/>
      <c r="E798" s="366"/>
      <c r="F798" s="367"/>
    </row>
    <row r="799" spans="1:6" s="13" customFormat="1" ht="63" customHeight="1">
      <c r="A799" s="89"/>
      <c r="B799" s="91"/>
      <c r="C799" s="63"/>
      <c r="D799" s="366"/>
      <c r="E799" s="366"/>
      <c r="F799" s="367"/>
    </row>
    <row r="800" spans="1:6" s="13" customFormat="1" ht="15.75">
      <c r="A800" s="89"/>
      <c r="B800" s="91"/>
      <c r="C800" s="63"/>
      <c r="D800" s="366"/>
      <c r="E800" s="366"/>
      <c r="F800" s="367"/>
    </row>
    <row r="801" spans="1:6" s="13" customFormat="1" ht="15.75">
      <c r="A801" s="89"/>
      <c r="B801" s="91"/>
      <c r="C801" s="63"/>
      <c r="D801" s="366"/>
      <c r="E801" s="366"/>
      <c r="F801" s="367"/>
    </row>
    <row r="802" spans="1:6" s="13" customFormat="1" ht="64.5" customHeight="1">
      <c r="A802" s="89"/>
      <c r="B802" s="91"/>
      <c r="C802" s="63"/>
      <c r="D802" s="366"/>
      <c r="E802" s="366"/>
      <c r="F802" s="367"/>
    </row>
    <row r="803" spans="1:6" s="13" customFormat="1" ht="15.75">
      <c r="A803" s="89"/>
      <c r="B803" s="91"/>
      <c r="C803" s="63"/>
      <c r="D803" s="366"/>
      <c r="E803" s="366"/>
      <c r="F803" s="367"/>
    </row>
    <row r="804" spans="1:6" s="13" customFormat="1" ht="15.75">
      <c r="A804" s="89"/>
      <c r="B804" s="91"/>
      <c r="C804" s="63"/>
      <c r="D804" s="366"/>
      <c r="E804" s="366"/>
      <c r="F804" s="367"/>
    </row>
    <row r="805" spans="1:6" s="13" customFormat="1" ht="15.75">
      <c r="A805" s="89"/>
      <c r="B805" s="91"/>
      <c r="C805" s="63"/>
      <c r="D805" s="366"/>
      <c r="E805" s="366"/>
      <c r="F805" s="367"/>
    </row>
    <row r="806" spans="1:6" s="13" customFormat="1" ht="15.75">
      <c r="A806" s="89"/>
      <c r="B806" s="91"/>
      <c r="C806" s="63"/>
      <c r="D806" s="366"/>
      <c r="E806" s="366"/>
      <c r="F806" s="367"/>
    </row>
    <row r="807" spans="1:6" s="13" customFormat="1" ht="15.75">
      <c r="A807" s="89"/>
      <c r="B807" s="91"/>
      <c r="C807" s="63"/>
      <c r="D807" s="366"/>
      <c r="E807" s="366"/>
      <c r="F807" s="367"/>
    </row>
    <row r="808" spans="1:6" s="13" customFormat="1" ht="15.75">
      <c r="A808" s="89"/>
      <c r="B808" s="91"/>
      <c r="C808" s="63"/>
      <c r="D808" s="366"/>
      <c r="E808" s="366"/>
      <c r="F808" s="367"/>
    </row>
    <row r="809" spans="1:6" s="13" customFormat="1" ht="15.75">
      <c r="A809" s="89"/>
      <c r="B809" s="91"/>
      <c r="C809" s="63"/>
      <c r="D809" s="366"/>
      <c r="E809" s="366"/>
      <c r="F809" s="367"/>
    </row>
    <row r="810" spans="1:6" s="13" customFormat="1" ht="18" customHeight="1">
      <c r="A810" s="89"/>
      <c r="B810" s="91"/>
      <c r="C810" s="63"/>
      <c r="D810" s="366"/>
      <c r="E810" s="366"/>
      <c r="F810" s="367"/>
    </row>
    <row r="811" spans="1:6" s="13" customFormat="1" ht="63.75" customHeight="1">
      <c r="A811" s="89"/>
      <c r="B811" s="91"/>
      <c r="C811" s="63"/>
      <c r="D811" s="366"/>
      <c r="E811" s="366"/>
      <c r="F811" s="367"/>
    </row>
    <row r="812" spans="1:6" s="13" customFormat="1" ht="26.25" customHeight="1">
      <c r="A812" s="89"/>
      <c r="B812" s="91"/>
      <c r="C812" s="63"/>
      <c r="D812" s="366"/>
      <c r="E812" s="366"/>
      <c r="F812" s="367"/>
    </row>
    <row r="813" spans="1:6" s="13" customFormat="1" ht="18" customHeight="1">
      <c r="A813" s="89"/>
      <c r="B813" s="91"/>
      <c r="C813" s="63"/>
      <c r="D813" s="357"/>
      <c r="E813" s="357"/>
      <c r="F813" s="96"/>
    </row>
    <row r="814" spans="1:6" s="13" customFormat="1" ht="15.75">
      <c r="A814" s="89"/>
      <c r="B814" s="91"/>
      <c r="C814" s="63"/>
      <c r="D814" s="357"/>
      <c r="E814" s="357"/>
      <c r="F814" s="96"/>
    </row>
    <row r="815" spans="1:6" s="13" customFormat="1" ht="15.75">
      <c r="A815" s="89"/>
      <c r="B815" s="91"/>
      <c r="C815" s="63"/>
      <c r="D815" s="357"/>
      <c r="E815" s="357"/>
      <c r="F815" s="96"/>
    </row>
    <row r="816" spans="1:6" s="13" customFormat="1" ht="15.75">
      <c r="A816" s="89"/>
      <c r="B816" s="91"/>
      <c r="C816" s="63"/>
      <c r="D816" s="357"/>
      <c r="E816" s="357"/>
      <c r="F816" s="96"/>
    </row>
    <row r="817" spans="1:6" s="13" customFormat="1" ht="15.75">
      <c r="A817" s="89"/>
      <c r="B817" s="91"/>
      <c r="C817" s="63"/>
      <c r="D817" s="357"/>
      <c r="E817" s="357"/>
      <c r="F817" s="96"/>
    </row>
    <row r="818" spans="1:6" s="13" customFormat="1" ht="15.75">
      <c r="A818" s="89"/>
      <c r="B818" s="91"/>
      <c r="C818" s="63"/>
      <c r="D818" s="357"/>
      <c r="E818" s="357"/>
      <c r="F818" s="96"/>
    </row>
    <row r="819" spans="1:6" s="13" customFormat="1" ht="70.5" customHeight="1">
      <c r="A819" s="89"/>
      <c r="B819" s="91"/>
      <c r="C819" s="63"/>
      <c r="D819" s="357"/>
      <c r="E819" s="357"/>
      <c r="F819" s="96"/>
    </row>
    <row r="820" spans="1:6" s="13" customFormat="1" ht="15.75">
      <c r="A820" s="89"/>
      <c r="B820" s="91"/>
      <c r="C820" s="63"/>
      <c r="D820" s="357"/>
      <c r="E820" s="357"/>
      <c r="F820" s="96"/>
    </row>
    <row r="821" spans="1:6" s="13" customFormat="1" ht="15.75">
      <c r="A821" s="89"/>
      <c r="B821" s="91"/>
      <c r="C821" s="63"/>
      <c r="D821" s="357"/>
      <c r="E821" s="357"/>
      <c r="F821" s="96"/>
    </row>
    <row r="822" spans="1:6" s="13" customFormat="1" ht="82.5" customHeight="1">
      <c r="A822" s="89"/>
      <c r="B822" s="91"/>
      <c r="C822" s="63"/>
      <c r="D822" s="357"/>
      <c r="E822" s="357"/>
      <c r="F822" s="96"/>
    </row>
    <row r="823" spans="1:6" s="13" customFormat="1" ht="15.75">
      <c r="A823" s="89"/>
      <c r="B823" s="91"/>
      <c r="C823" s="63"/>
      <c r="D823" s="357"/>
      <c r="E823" s="357"/>
      <c r="F823" s="96"/>
    </row>
    <row r="824" spans="1:6" s="13" customFormat="1" ht="15.75">
      <c r="A824" s="89"/>
      <c r="B824" s="91"/>
      <c r="C824" s="63"/>
      <c r="D824" s="357"/>
      <c r="E824" s="357"/>
      <c r="F824" s="96"/>
    </row>
    <row r="825" spans="1:6" s="13" customFormat="1" ht="15.75">
      <c r="A825" s="89"/>
      <c r="B825" s="91"/>
      <c r="C825" s="63"/>
      <c r="D825" s="357"/>
      <c r="E825" s="357"/>
      <c r="F825" s="96"/>
    </row>
    <row r="826" spans="1:6" s="13" customFormat="1" ht="63.75" customHeight="1">
      <c r="A826" s="89"/>
      <c r="B826" s="91"/>
      <c r="C826" s="63"/>
      <c r="D826" s="357"/>
      <c r="E826" s="357"/>
      <c r="F826" s="96"/>
    </row>
    <row r="827" spans="1:6" s="13" customFormat="1" ht="15.75">
      <c r="A827" s="89"/>
      <c r="B827" s="91"/>
      <c r="C827" s="63"/>
      <c r="D827" s="357"/>
      <c r="E827" s="357"/>
      <c r="F827" s="96"/>
    </row>
    <row r="828" spans="1:6" s="13" customFormat="1" ht="15.75">
      <c r="A828" s="89"/>
      <c r="B828" s="91"/>
      <c r="C828" s="63"/>
      <c r="D828" s="357"/>
      <c r="E828" s="357"/>
      <c r="F828" s="96"/>
    </row>
    <row r="829" spans="1:6" s="13" customFormat="1" ht="15.75">
      <c r="A829" s="89"/>
      <c r="B829" s="91"/>
      <c r="C829" s="63"/>
      <c r="D829" s="357"/>
      <c r="E829" s="357"/>
      <c r="F829" s="96"/>
    </row>
    <row r="830" spans="1:6" s="13" customFormat="1" ht="15.75">
      <c r="A830" s="89"/>
      <c r="B830" s="91"/>
      <c r="C830" s="63"/>
      <c r="D830" s="357"/>
      <c r="E830" s="357"/>
      <c r="F830" s="96"/>
    </row>
    <row r="831" spans="1:6" s="13" customFormat="1" ht="15.75">
      <c r="A831" s="89"/>
      <c r="B831" s="91"/>
      <c r="C831" s="63"/>
      <c r="D831" s="357"/>
      <c r="E831" s="357"/>
      <c r="F831" s="96"/>
    </row>
    <row r="832" spans="1:6" s="13" customFormat="1" ht="15.75">
      <c r="A832" s="89"/>
      <c r="B832" s="91"/>
      <c r="C832" s="63"/>
      <c r="D832" s="357"/>
      <c r="E832" s="357"/>
      <c r="F832" s="96"/>
    </row>
    <row r="833" spans="1:6" s="13" customFormat="1" ht="15.75">
      <c r="A833" s="89"/>
      <c r="B833" s="91"/>
      <c r="C833" s="63"/>
      <c r="D833" s="357"/>
      <c r="E833" s="357"/>
      <c r="F833" s="96"/>
    </row>
    <row r="834" spans="1:6" s="13" customFormat="1" ht="15.75">
      <c r="A834" s="89"/>
      <c r="B834" s="91"/>
      <c r="C834" s="63"/>
      <c r="D834" s="357"/>
      <c r="E834" s="357"/>
      <c r="F834" s="96"/>
    </row>
    <row r="835" spans="1:6" s="13" customFormat="1" ht="15.75">
      <c r="A835" s="89"/>
      <c r="B835" s="91"/>
      <c r="C835" s="63"/>
      <c r="D835" s="357"/>
      <c r="E835" s="357"/>
      <c r="F835" s="96"/>
    </row>
    <row r="836" spans="1:6" s="13" customFormat="1" ht="15.75">
      <c r="A836" s="89"/>
      <c r="B836" s="91"/>
      <c r="C836" s="63"/>
      <c r="D836" s="357"/>
      <c r="E836" s="357"/>
      <c r="F836" s="96"/>
    </row>
    <row r="837" spans="1:6" s="13" customFormat="1" ht="15.75">
      <c r="A837" s="89"/>
      <c r="B837" s="91"/>
      <c r="C837" s="63"/>
      <c r="D837" s="357"/>
      <c r="E837" s="357"/>
      <c r="F837" s="96"/>
    </row>
    <row r="838" spans="1:6" s="13" customFormat="1" ht="15.75">
      <c r="A838" s="89"/>
      <c r="B838" s="91"/>
      <c r="C838" s="63"/>
      <c r="D838" s="357"/>
      <c r="E838" s="357"/>
      <c r="F838" s="96"/>
    </row>
    <row r="839" spans="1:6" s="13" customFormat="1" ht="15.75">
      <c r="A839" s="89"/>
      <c r="B839" s="91"/>
      <c r="C839" s="63"/>
      <c r="D839" s="357"/>
      <c r="E839" s="357"/>
      <c r="F839" s="96"/>
    </row>
    <row r="840" spans="1:6" s="13" customFormat="1" ht="15.75">
      <c r="A840" s="89"/>
      <c r="B840" s="91"/>
      <c r="C840" s="63"/>
      <c r="D840" s="357"/>
      <c r="E840" s="357"/>
      <c r="F840" s="96"/>
    </row>
    <row r="841" spans="1:6" s="13" customFormat="1" ht="15.75">
      <c r="A841" s="89"/>
      <c r="B841" s="91"/>
      <c r="C841" s="63"/>
      <c r="D841" s="357"/>
      <c r="E841" s="357"/>
      <c r="F841" s="96"/>
    </row>
    <row r="842" spans="1:6" s="13" customFormat="1" ht="15.75">
      <c r="A842" s="89"/>
      <c r="B842" s="91"/>
      <c r="C842" s="63"/>
      <c r="D842" s="357"/>
      <c r="E842" s="357"/>
      <c r="F842" s="96"/>
    </row>
    <row r="843" spans="1:6" s="13" customFormat="1" ht="69.75" customHeight="1">
      <c r="A843" s="89"/>
      <c r="B843" s="91"/>
      <c r="C843" s="63"/>
      <c r="D843" s="357"/>
      <c r="E843" s="357"/>
      <c r="F843" s="96"/>
    </row>
    <row r="844" spans="1:6" s="13" customFormat="1" ht="15.75">
      <c r="A844" s="89"/>
      <c r="B844" s="91"/>
      <c r="C844" s="63"/>
      <c r="D844" s="357"/>
      <c r="E844" s="357"/>
      <c r="F844" s="96"/>
    </row>
    <row r="845" spans="1:6" s="13" customFormat="1" ht="15.75">
      <c r="A845" s="89"/>
      <c r="B845" s="91"/>
      <c r="C845" s="63"/>
      <c r="D845" s="357"/>
      <c r="E845" s="357"/>
      <c r="F845" s="96"/>
    </row>
    <row r="846" spans="1:6" s="13" customFormat="1" ht="15.75">
      <c r="A846" s="89"/>
      <c r="B846" s="91"/>
      <c r="C846" s="63"/>
      <c r="D846" s="357"/>
      <c r="E846" s="357"/>
      <c r="F846" s="96"/>
    </row>
    <row r="847" spans="1:6" s="13" customFormat="1" ht="15.75">
      <c r="A847" s="89"/>
      <c r="B847" s="91"/>
      <c r="C847" s="63"/>
      <c r="D847" s="357"/>
      <c r="E847" s="357"/>
      <c r="F847" s="96"/>
    </row>
    <row r="848" spans="1:6" s="13" customFormat="1" ht="15.75">
      <c r="A848" s="89"/>
      <c r="B848" s="91"/>
      <c r="C848" s="63"/>
      <c r="D848" s="357"/>
      <c r="E848" s="357"/>
      <c r="F848" s="96"/>
    </row>
    <row r="849" spans="1:6" s="13" customFormat="1" ht="15.75">
      <c r="A849" s="89"/>
      <c r="B849" s="91"/>
      <c r="C849" s="63"/>
      <c r="D849" s="357"/>
      <c r="E849" s="357"/>
      <c r="F849" s="96"/>
    </row>
    <row r="850" spans="1:6" s="13" customFormat="1" ht="15.75">
      <c r="A850" s="89"/>
      <c r="B850" s="91"/>
      <c r="C850" s="63"/>
      <c r="D850" s="357"/>
      <c r="E850" s="357"/>
      <c r="F850" s="96"/>
    </row>
    <row r="851" spans="1:6" s="13" customFormat="1" ht="15.75">
      <c r="A851" s="89"/>
      <c r="B851" s="91"/>
      <c r="C851" s="63"/>
      <c r="D851" s="357"/>
      <c r="E851" s="357"/>
      <c r="F851" s="96"/>
    </row>
    <row r="852" spans="1:6" s="13" customFormat="1" ht="15.75">
      <c r="A852" s="89"/>
      <c r="B852" s="91"/>
      <c r="C852" s="63"/>
      <c r="D852" s="357"/>
      <c r="E852" s="357"/>
      <c r="F852" s="96"/>
    </row>
    <row r="853" spans="1:6" s="13" customFormat="1" ht="15.75">
      <c r="A853" s="89"/>
      <c r="B853" s="91"/>
      <c r="C853" s="63"/>
      <c r="D853" s="357"/>
      <c r="E853" s="357"/>
      <c r="F853" s="96"/>
    </row>
    <row r="854" spans="1:6" s="13" customFormat="1" ht="72.75" customHeight="1">
      <c r="A854" s="89"/>
      <c r="B854" s="91"/>
      <c r="C854" s="63"/>
      <c r="D854" s="357"/>
      <c r="E854" s="357"/>
      <c r="F854" s="96"/>
    </row>
    <row r="855" spans="1:6" s="13" customFormat="1" ht="15.75">
      <c r="A855" s="89"/>
      <c r="B855" s="91"/>
      <c r="C855" s="63"/>
      <c r="D855" s="357"/>
      <c r="E855" s="357"/>
      <c r="F855" s="96"/>
    </row>
    <row r="856" spans="1:6" s="13" customFormat="1" ht="15.75">
      <c r="A856" s="89"/>
      <c r="B856" s="91"/>
      <c r="C856" s="63"/>
      <c r="D856" s="357"/>
      <c r="E856" s="357"/>
      <c r="F856" s="96"/>
    </row>
    <row r="857" spans="1:6" s="13" customFormat="1" ht="63.75" customHeight="1">
      <c r="A857" s="89"/>
      <c r="B857" s="91"/>
      <c r="C857" s="63"/>
      <c r="D857" s="357"/>
      <c r="E857" s="357"/>
      <c r="F857" s="96"/>
    </row>
    <row r="858" spans="1:6" s="13" customFormat="1" ht="15.75">
      <c r="A858" s="89"/>
      <c r="B858" s="91"/>
      <c r="C858" s="63"/>
      <c r="D858" s="357"/>
      <c r="E858" s="357"/>
      <c r="F858" s="96"/>
    </row>
    <row r="859" spans="1:6" s="13" customFormat="1" ht="15.75">
      <c r="A859" s="89"/>
      <c r="B859" s="91"/>
      <c r="C859" s="63"/>
      <c r="D859" s="357"/>
      <c r="E859" s="357"/>
      <c r="F859" s="96"/>
    </row>
    <row r="860" spans="1:6" s="13" customFormat="1" ht="15.75">
      <c r="A860" s="89"/>
      <c r="B860" s="91"/>
      <c r="C860" s="63"/>
      <c r="D860" s="357"/>
      <c r="E860" s="357"/>
      <c r="F860" s="96"/>
    </row>
    <row r="861" spans="1:6" s="13" customFormat="1" ht="15.75">
      <c r="A861" s="89"/>
      <c r="B861" s="91"/>
      <c r="C861" s="63"/>
      <c r="D861" s="357"/>
      <c r="E861" s="357"/>
      <c r="F861" s="96"/>
    </row>
    <row r="862" spans="1:6" s="13" customFormat="1" ht="15.75">
      <c r="A862" s="89"/>
      <c r="B862" s="91"/>
      <c r="C862" s="63"/>
      <c r="D862" s="357"/>
      <c r="E862" s="357"/>
      <c r="F862" s="96"/>
    </row>
    <row r="863" spans="1:6" s="13" customFormat="1" ht="15.75">
      <c r="A863" s="89"/>
      <c r="B863" s="91"/>
      <c r="C863" s="63"/>
      <c r="D863" s="357"/>
      <c r="E863" s="357"/>
      <c r="F863" s="96"/>
    </row>
    <row r="864" spans="1:6" s="13" customFormat="1" ht="15.75">
      <c r="A864" s="89"/>
      <c r="B864" s="91"/>
      <c r="C864" s="63"/>
      <c r="D864" s="357"/>
      <c r="E864" s="357"/>
      <c r="F864" s="96"/>
    </row>
    <row r="865" spans="1:6" s="13" customFormat="1" ht="15.75">
      <c r="A865" s="89"/>
      <c r="B865" s="91"/>
      <c r="C865" s="63"/>
      <c r="D865" s="357"/>
      <c r="E865" s="357"/>
      <c r="F865" s="96"/>
    </row>
    <row r="866" spans="1:6" s="13" customFormat="1" ht="15.75">
      <c r="A866" s="89"/>
      <c r="B866" s="91"/>
      <c r="C866" s="63"/>
      <c r="D866" s="357"/>
      <c r="E866" s="357"/>
      <c r="F866" s="96"/>
    </row>
    <row r="867" spans="1:6" s="13" customFormat="1" ht="15.75">
      <c r="A867" s="89"/>
      <c r="B867" s="91"/>
      <c r="C867" s="63"/>
      <c r="D867" s="357"/>
      <c r="E867" s="357"/>
      <c r="F867" s="96"/>
    </row>
    <row r="868" spans="1:6" s="13" customFormat="1" ht="15.75">
      <c r="A868" s="89"/>
      <c r="B868" s="91"/>
      <c r="C868" s="63"/>
      <c r="D868" s="357"/>
      <c r="E868" s="357"/>
      <c r="F868" s="96"/>
    </row>
    <row r="869" spans="1:6" s="13" customFormat="1" ht="15.75">
      <c r="A869" s="89"/>
      <c r="B869" s="91"/>
      <c r="C869" s="63"/>
      <c r="D869" s="357"/>
      <c r="E869" s="357"/>
      <c r="F869" s="96"/>
    </row>
    <row r="870" spans="1:6" s="13" customFormat="1" ht="15.75">
      <c r="A870" s="89"/>
      <c r="B870" s="91"/>
      <c r="C870" s="63"/>
      <c r="D870" s="357"/>
      <c r="E870" s="357"/>
      <c r="F870" s="96"/>
    </row>
    <row r="871" spans="1:6" s="13" customFormat="1" ht="15.75">
      <c r="A871" s="89"/>
      <c r="B871" s="91"/>
      <c r="C871" s="63"/>
      <c r="D871" s="357"/>
      <c r="E871" s="357"/>
      <c r="F871" s="96"/>
    </row>
    <row r="872" spans="1:6" s="13" customFormat="1" ht="15.75">
      <c r="A872" s="89"/>
      <c r="B872" s="91"/>
      <c r="C872" s="63"/>
      <c r="D872" s="357"/>
      <c r="E872" s="357"/>
      <c r="F872" s="96"/>
    </row>
    <row r="873" spans="1:6" s="13" customFormat="1" ht="15.75">
      <c r="A873" s="89"/>
      <c r="B873" s="91"/>
      <c r="C873" s="63"/>
      <c r="D873" s="357"/>
      <c r="E873" s="357"/>
      <c r="F873" s="96"/>
    </row>
    <row r="874" spans="1:6" s="13" customFormat="1" ht="15.75">
      <c r="A874" s="89"/>
      <c r="B874" s="91"/>
      <c r="C874" s="63"/>
      <c r="D874" s="357"/>
      <c r="E874" s="357"/>
      <c r="F874" s="96"/>
    </row>
    <row r="875" spans="1:6" s="13" customFormat="1" ht="15.75">
      <c r="A875" s="89"/>
      <c r="B875" s="91"/>
      <c r="C875" s="63"/>
      <c r="D875" s="357"/>
      <c r="E875" s="357"/>
      <c r="F875" s="96"/>
    </row>
    <row r="876" spans="1:6" s="13" customFormat="1" ht="69" customHeight="1">
      <c r="A876" s="89"/>
      <c r="B876" s="91"/>
      <c r="C876" s="63"/>
      <c r="D876" s="357"/>
      <c r="E876" s="357"/>
      <c r="F876" s="96"/>
    </row>
    <row r="877" spans="1:6" s="13" customFormat="1" ht="15.75">
      <c r="A877" s="89"/>
      <c r="B877" s="91"/>
      <c r="C877" s="63"/>
      <c r="D877" s="357"/>
      <c r="E877" s="357"/>
      <c r="F877" s="96"/>
    </row>
    <row r="878" spans="1:6" s="13" customFormat="1" ht="15.75">
      <c r="A878" s="89"/>
      <c r="B878" s="91"/>
      <c r="C878" s="63"/>
      <c r="D878" s="357"/>
      <c r="E878" s="357"/>
      <c r="F878" s="96"/>
    </row>
    <row r="879" spans="1:6" s="13" customFormat="1" ht="15.75">
      <c r="A879" s="89"/>
      <c r="B879" s="91"/>
      <c r="C879" s="63"/>
      <c r="D879" s="357"/>
      <c r="E879" s="357"/>
      <c r="F879" s="96"/>
    </row>
    <row r="880" spans="1:6" s="13" customFormat="1" ht="15.75">
      <c r="A880" s="89"/>
      <c r="B880" s="91"/>
      <c r="C880" s="63"/>
      <c r="D880" s="357"/>
      <c r="E880" s="357"/>
      <c r="F880" s="96"/>
    </row>
    <row r="881" spans="1:6" s="13" customFormat="1" ht="15.75">
      <c r="A881" s="89"/>
      <c r="B881" s="91"/>
      <c r="C881" s="63"/>
      <c r="D881" s="357"/>
      <c r="E881" s="357"/>
      <c r="F881" s="96"/>
    </row>
    <row r="882" spans="1:6" s="13" customFormat="1" ht="15.75">
      <c r="A882" s="89"/>
      <c r="B882" s="91"/>
      <c r="C882" s="63"/>
      <c r="D882" s="357"/>
      <c r="E882" s="357"/>
      <c r="F882" s="96"/>
    </row>
    <row r="883" spans="1:6" s="13" customFormat="1" ht="15.75">
      <c r="A883" s="89"/>
      <c r="B883" s="91"/>
      <c r="C883" s="63"/>
      <c r="D883" s="357"/>
      <c r="E883" s="357"/>
      <c r="F883" s="96"/>
    </row>
    <row r="884" spans="1:6" s="13" customFormat="1" ht="15.75">
      <c r="A884" s="89"/>
      <c r="B884" s="91"/>
      <c r="C884" s="63"/>
      <c r="D884" s="357"/>
      <c r="E884" s="357"/>
      <c r="F884" s="96"/>
    </row>
    <row r="885" spans="1:6" s="13" customFormat="1" ht="15.75">
      <c r="A885" s="89"/>
      <c r="B885" s="91"/>
      <c r="C885" s="63"/>
      <c r="D885" s="357"/>
      <c r="E885" s="357"/>
      <c r="F885" s="96"/>
    </row>
    <row r="886" spans="1:6" s="19" customFormat="1" ht="15.75">
      <c r="A886" s="89"/>
      <c r="B886" s="91"/>
      <c r="C886" s="63"/>
      <c r="D886" s="357"/>
      <c r="E886" s="357"/>
      <c r="F886" s="96"/>
    </row>
    <row r="887" spans="1:6" s="13" customFormat="1" ht="15.75">
      <c r="A887" s="89"/>
      <c r="B887" s="91"/>
      <c r="C887" s="63"/>
      <c r="D887" s="357"/>
      <c r="E887" s="357"/>
      <c r="F887" s="96"/>
    </row>
    <row r="888" spans="1:6" s="13" customFormat="1" ht="15.75">
      <c r="A888" s="89"/>
      <c r="B888" s="91"/>
      <c r="C888" s="63"/>
      <c r="D888" s="357"/>
      <c r="E888" s="357"/>
      <c r="F888" s="96"/>
    </row>
    <row r="889" spans="1:6" s="13" customFormat="1" ht="15.75">
      <c r="A889" s="89"/>
      <c r="B889" s="91"/>
      <c r="C889" s="63"/>
      <c r="D889" s="357"/>
      <c r="E889" s="357"/>
      <c r="F889" s="96"/>
    </row>
    <row r="890" spans="1:6" s="13" customFormat="1" ht="15.75">
      <c r="A890" s="89"/>
      <c r="B890" s="91"/>
      <c r="C890" s="63"/>
      <c r="D890" s="357"/>
      <c r="E890" s="357"/>
      <c r="F890" s="96"/>
    </row>
    <row r="891" spans="1:6" s="13" customFormat="1" ht="15.75">
      <c r="A891" s="89"/>
      <c r="B891" s="91"/>
      <c r="C891" s="63"/>
      <c r="D891" s="357"/>
      <c r="E891" s="357"/>
      <c r="F891" s="96"/>
    </row>
    <row r="892" spans="1:6" s="13" customFormat="1" ht="15.75">
      <c r="A892" s="89"/>
      <c r="B892" s="91"/>
      <c r="C892" s="63"/>
      <c r="D892" s="357"/>
      <c r="E892" s="357"/>
      <c r="F892" s="96"/>
    </row>
    <row r="893" spans="1:6" s="13" customFormat="1" ht="15.75">
      <c r="A893" s="89"/>
      <c r="B893" s="91"/>
      <c r="C893" s="63"/>
      <c r="D893" s="357"/>
      <c r="E893" s="357"/>
      <c r="F893" s="96"/>
    </row>
    <row r="894" spans="1:6" s="13" customFormat="1" ht="15.75">
      <c r="A894" s="89"/>
      <c r="B894" s="91"/>
      <c r="C894" s="63"/>
      <c r="D894" s="357"/>
      <c r="E894" s="357"/>
      <c r="F894" s="96"/>
    </row>
    <row r="895" spans="1:6" s="13" customFormat="1" ht="15.75">
      <c r="A895" s="89"/>
      <c r="B895" s="91"/>
      <c r="C895" s="63"/>
      <c r="D895" s="357"/>
      <c r="E895" s="357"/>
      <c r="F895" s="96"/>
    </row>
    <row r="896" spans="1:6" s="13" customFormat="1" ht="15.75">
      <c r="A896" s="89"/>
      <c r="B896" s="91"/>
      <c r="C896" s="63"/>
      <c r="D896" s="357"/>
      <c r="E896" s="357"/>
      <c r="F896" s="96"/>
    </row>
    <row r="897" spans="1:6" s="13" customFormat="1" ht="15.75">
      <c r="A897" s="89"/>
      <c r="B897" s="91"/>
      <c r="C897" s="63"/>
      <c r="D897" s="357"/>
      <c r="E897" s="357"/>
      <c r="F897" s="96"/>
    </row>
    <row r="898" spans="1:6" s="13" customFormat="1" ht="15.75">
      <c r="A898" s="89"/>
      <c r="B898" s="91"/>
      <c r="C898" s="63"/>
      <c r="D898" s="357"/>
      <c r="E898" s="357"/>
      <c r="F898" s="96"/>
    </row>
    <row r="899" spans="1:6" s="13" customFormat="1" ht="15.75">
      <c r="A899" s="89"/>
      <c r="B899" s="91"/>
      <c r="C899" s="63"/>
      <c r="D899" s="357"/>
      <c r="E899" s="357"/>
      <c r="F899" s="96"/>
    </row>
    <row r="900" spans="1:6" s="13" customFormat="1" ht="15.75">
      <c r="A900" s="89"/>
      <c r="B900" s="91"/>
      <c r="C900" s="63"/>
      <c r="D900" s="357"/>
      <c r="E900" s="357"/>
      <c r="F900" s="96"/>
    </row>
    <row r="901" spans="1:6" s="13" customFormat="1" ht="15.75">
      <c r="A901" s="89"/>
      <c r="B901" s="91"/>
      <c r="C901" s="63"/>
      <c r="D901" s="357"/>
      <c r="E901" s="357"/>
      <c r="F901" s="96"/>
    </row>
    <row r="902" spans="1:6" s="13" customFormat="1" ht="15.75">
      <c r="A902" s="89"/>
      <c r="B902" s="91"/>
      <c r="C902" s="63"/>
      <c r="D902" s="357"/>
      <c r="E902" s="357"/>
      <c r="F902" s="96"/>
    </row>
    <row r="903" spans="1:6" s="13" customFormat="1" ht="15.75">
      <c r="A903" s="89"/>
      <c r="B903" s="91"/>
      <c r="C903" s="63"/>
      <c r="D903" s="357"/>
      <c r="E903" s="357"/>
      <c r="F903" s="96"/>
    </row>
    <row r="904" spans="1:6" s="13" customFormat="1" ht="15.75">
      <c r="A904" s="89"/>
      <c r="B904" s="91"/>
      <c r="C904" s="63"/>
      <c r="D904" s="357"/>
      <c r="E904" s="357"/>
      <c r="F904" s="96"/>
    </row>
    <row r="905" spans="1:6" s="13" customFormat="1" ht="15.75">
      <c r="A905" s="89"/>
      <c r="B905" s="91"/>
      <c r="C905" s="63"/>
      <c r="D905" s="357"/>
      <c r="E905" s="357"/>
      <c r="F905" s="96"/>
    </row>
    <row r="906" spans="1:6" s="13" customFormat="1" ht="15.75">
      <c r="A906" s="89"/>
      <c r="B906" s="91"/>
      <c r="C906" s="63"/>
      <c r="D906" s="357"/>
      <c r="E906" s="357"/>
      <c r="F906" s="96"/>
    </row>
    <row r="907" spans="1:6" s="13" customFormat="1" ht="15.75">
      <c r="A907" s="89"/>
      <c r="B907" s="91"/>
      <c r="C907" s="63"/>
      <c r="D907" s="357"/>
      <c r="E907" s="357"/>
      <c r="F907" s="96"/>
    </row>
    <row r="908" spans="1:6" s="13" customFormat="1" ht="15.75">
      <c r="A908" s="89"/>
      <c r="B908" s="91"/>
      <c r="C908" s="63"/>
      <c r="D908" s="357"/>
      <c r="E908" s="357"/>
      <c r="F908" s="96"/>
    </row>
    <row r="909" spans="1:6" s="13" customFormat="1" ht="15.75">
      <c r="A909" s="89"/>
      <c r="B909" s="91"/>
      <c r="C909" s="63"/>
      <c r="D909" s="357"/>
      <c r="E909" s="357"/>
      <c r="F909" s="96"/>
    </row>
    <row r="910" spans="1:6" s="13" customFormat="1" ht="15.75">
      <c r="A910" s="89"/>
      <c r="B910" s="91"/>
      <c r="C910" s="63"/>
      <c r="D910" s="357"/>
      <c r="E910" s="357"/>
      <c r="F910" s="96"/>
    </row>
    <row r="911" spans="1:6" s="13" customFormat="1" ht="15.75">
      <c r="A911" s="89"/>
      <c r="B911" s="91"/>
      <c r="C911" s="63"/>
      <c r="D911" s="357"/>
      <c r="E911" s="357"/>
      <c r="F911" s="96"/>
    </row>
    <row r="912" spans="1:6" s="13" customFormat="1" ht="15.75">
      <c r="A912" s="89"/>
      <c r="B912" s="91"/>
      <c r="C912" s="63"/>
      <c r="D912" s="357"/>
      <c r="E912" s="357"/>
      <c r="F912" s="96"/>
    </row>
    <row r="913" spans="1:6" s="13" customFormat="1" ht="15.75">
      <c r="A913" s="89"/>
      <c r="B913" s="91"/>
      <c r="C913" s="63"/>
      <c r="D913" s="357"/>
      <c r="E913" s="357"/>
      <c r="F913" s="96"/>
    </row>
    <row r="914" spans="1:6" s="13" customFormat="1" ht="15.75">
      <c r="A914" s="89"/>
      <c r="B914" s="91"/>
      <c r="C914" s="63"/>
      <c r="D914" s="357"/>
      <c r="E914" s="357"/>
      <c r="F914" s="96"/>
    </row>
    <row r="915" spans="1:6" s="13" customFormat="1" ht="15.75">
      <c r="A915" s="89"/>
      <c r="B915" s="91"/>
      <c r="C915" s="63"/>
      <c r="D915" s="357"/>
      <c r="E915" s="357"/>
      <c r="F915" s="96"/>
    </row>
    <row r="916" spans="1:6" s="13" customFormat="1" ht="15.75">
      <c r="A916" s="89"/>
      <c r="B916" s="91"/>
      <c r="C916" s="63"/>
      <c r="D916" s="357"/>
      <c r="E916" s="357"/>
      <c r="F916" s="96"/>
    </row>
    <row r="917" spans="1:6" s="13" customFormat="1" ht="15.75">
      <c r="A917" s="89"/>
      <c r="B917" s="91"/>
      <c r="C917" s="63"/>
      <c r="D917" s="357"/>
      <c r="E917" s="357"/>
      <c r="F917" s="96"/>
    </row>
    <row r="918" spans="1:6" s="13" customFormat="1" ht="15.75">
      <c r="A918" s="89"/>
      <c r="B918" s="91"/>
      <c r="C918" s="63"/>
      <c r="D918" s="357"/>
      <c r="E918" s="357"/>
      <c r="F918" s="96"/>
    </row>
    <row r="919" spans="1:6" s="13" customFormat="1" ht="15.75">
      <c r="A919" s="89"/>
      <c r="B919" s="91"/>
      <c r="C919" s="63"/>
      <c r="D919" s="357"/>
      <c r="E919" s="357"/>
      <c r="F919" s="96"/>
    </row>
    <row r="920" spans="1:6" s="13" customFormat="1" ht="15.75">
      <c r="A920" s="89"/>
      <c r="B920" s="91"/>
      <c r="C920" s="63"/>
      <c r="D920" s="357"/>
      <c r="E920" s="357"/>
      <c r="F920" s="96"/>
    </row>
    <row r="921" spans="1:6" s="19" customFormat="1" ht="15.75">
      <c r="A921" s="89"/>
      <c r="B921" s="91"/>
      <c r="C921" s="63"/>
      <c r="D921" s="357"/>
      <c r="E921" s="357"/>
      <c r="F921" s="96"/>
    </row>
    <row r="922" spans="1:6" s="13" customFormat="1" ht="15.75">
      <c r="A922" s="89"/>
      <c r="B922" s="91"/>
      <c r="C922" s="63"/>
      <c r="D922" s="357"/>
      <c r="E922" s="357"/>
      <c r="F922" s="96"/>
    </row>
    <row r="923" spans="1:6" s="13" customFormat="1" ht="15.75">
      <c r="A923" s="89"/>
      <c r="B923" s="91"/>
      <c r="C923" s="63"/>
      <c r="D923" s="357"/>
      <c r="E923" s="357"/>
      <c r="F923" s="96"/>
    </row>
    <row r="924" spans="1:6" s="13" customFormat="1" ht="15.75">
      <c r="A924" s="89"/>
      <c r="B924" s="91"/>
      <c r="C924" s="63"/>
      <c r="D924" s="357"/>
      <c r="E924" s="357"/>
      <c r="F924" s="96"/>
    </row>
    <row r="925" spans="1:6" s="13" customFormat="1" ht="15.75">
      <c r="A925" s="89"/>
      <c r="B925" s="91"/>
      <c r="C925" s="63"/>
      <c r="D925" s="357"/>
      <c r="E925" s="357"/>
      <c r="F925" s="96"/>
    </row>
    <row r="926" spans="1:6" s="13" customFormat="1" ht="15.75">
      <c r="A926" s="89"/>
      <c r="B926" s="91"/>
      <c r="C926" s="63"/>
      <c r="D926" s="357"/>
      <c r="E926" s="357"/>
      <c r="F926" s="96"/>
    </row>
    <row r="927" spans="1:6" s="13" customFormat="1" ht="15.75">
      <c r="A927" s="89"/>
      <c r="B927" s="91"/>
      <c r="C927" s="63"/>
      <c r="D927" s="357"/>
      <c r="E927" s="357"/>
      <c r="F927" s="96"/>
    </row>
    <row r="928" spans="1:6" s="13" customFormat="1" ht="15.75">
      <c r="A928" s="89"/>
      <c r="B928" s="91"/>
      <c r="C928" s="63"/>
      <c r="D928" s="357"/>
      <c r="E928" s="357"/>
      <c r="F928" s="96"/>
    </row>
    <row r="929" spans="1:6" s="13" customFormat="1" ht="15.75">
      <c r="A929" s="89"/>
      <c r="B929" s="91"/>
      <c r="C929" s="63"/>
      <c r="D929" s="357"/>
      <c r="E929" s="357"/>
      <c r="F929" s="96"/>
    </row>
    <row r="930" spans="1:6" s="18" customFormat="1" ht="12.75">
      <c r="A930" s="89"/>
      <c r="B930" s="91"/>
      <c r="C930" s="63"/>
      <c r="D930" s="357"/>
      <c r="E930" s="357"/>
      <c r="F930" s="96"/>
    </row>
    <row r="931" spans="1:6" s="18" customFormat="1" ht="12.75">
      <c r="A931" s="89"/>
      <c r="B931" s="91"/>
      <c r="C931" s="63"/>
      <c r="D931" s="357"/>
      <c r="E931" s="357"/>
      <c r="F931" s="96"/>
    </row>
    <row r="932" spans="1:6" s="18" customFormat="1" ht="12.75">
      <c r="A932" s="89"/>
      <c r="B932" s="91"/>
      <c r="C932" s="63"/>
      <c r="D932" s="357"/>
      <c r="E932" s="357"/>
      <c r="F932" s="96"/>
    </row>
    <row r="933" spans="1:6" s="18" customFormat="1" ht="12.75">
      <c r="A933" s="89"/>
      <c r="B933" s="91"/>
      <c r="C933" s="63"/>
      <c r="D933" s="357"/>
      <c r="E933" s="357"/>
      <c r="F933" s="96"/>
    </row>
    <row r="934" spans="1:6" s="18" customFormat="1" ht="12.75">
      <c r="A934" s="89"/>
      <c r="B934" s="91"/>
      <c r="C934" s="63"/>
      <c r="D934" s="357"/>
      <c r="E934" s="357"/>
      <c r="F934" s="96"/>
    </row>
    <row r="935" spans="1:6" s="18" customFormat="1" ht="12.75">
      <c r="A935" s="89"/>
      <c r="B935" s="91"/>
      <c r="C935" s="63"/>
      <c r="D935" s="357"/>
      <c r="E935" s="357"/>
      <c r="F935" s="96"/>
    </row>
    <row r="936" spans="1:6" s="17" customFormat="1" ht="12.75">
      <c r="A936" s="89"/>
      <c r="B936" s="91"/>
      <c r="C936" s="63"/>
      <c r="D936" s="357"/>
      <c r="E936" s="357"/>
      <c r="F936" s="96"/>
    </row>
    <row r="937" spans="1:6" s="17" customFormat="1" ht="12.75">
      <c r="A937" s="89"/>
      <c r="B937" s="91"/>
      <c r="C937" s="63"/>
      <c r="D937" s="357"/>
      <c r="E937" s="357"/>
      <c r="F937" s="96"/>
    </row>
    <row r="938" spans="1:6" s="18" customFormat="1" ht="12.75">
      <c r="A938" s="89"/>
      <c r="B938" s="91"/>
      <c r="C938" s="63"/>
      <c r="D938" s="357"/>
      <c r="E938" s="357"/>
      <c r="F938" s="96"/>
    </row>
    <row r="939" spans="1:6" s="17" customFormat="1" ht="12.75">
      <c r="A939" s="89"/>
      <c r="B939" s="91"/>
      <c r="C939" s="63"/>
      <c r="D939" s="357"/>
      <c r="E939" s="357"/>
      <c r="F939" s="96"/>
    </row>
    <row r="940" spans="1:6" s="17" customFormat="1" ht="12.75">
      <c r="A940" s="89"/>
      <c r="B940" s="91"/>
      <c r="C940" s="63"/>
      <c r="D940" s="357"/>
      <c r="E940" s="357"/>
      <c r="F940" s="96"/>
    </row>
    <row r="941" spans="1:6" s="17" customFormat="1" ht="12.75">
      <c r="A941" s="89"/>
      <c r="B941" s="91"/>
      <c r="C941" s="63"/>
      <c r="D941" s="357"/>
      <c r="E941" s="357"/>
      <c r="F941" s="96"/>
    </row>
    <row r="942" spans="1:6" s="17" customFormat="1" ht="12.75">
      <c r="A942" s="89"/>
      <c r="B942" s="91"/>
      <c r="C942" s="63"/>
      <c r="D942" s="357"/>
      <c r="E942" s="357"/>
      <c r="F942" s="96"/>
    </row>
    <row r="943" spans="1:6" s="17" customFormat="1" ht="12.75">
      <c r="A943" s="89"/>
      <c r="B943" s="91"/>
      <c r="C943" s="63"/>
      <c r="D943" s="357"/>
      <c r="E943" s="357"/>
      <c r="F943" s="96"/>
    </row>
    <row r="944" spans="1:6" s="17" customFormat="1" ht="12.75">
      <c r="A944" s="89"/>
      <c r="B944" s="91"/>
      <c r="C944" s="63"/>
      <c r="D944" s="357"/>
      <c r="E944" s="357"/>
      <c r="F944" s="96"/>
    </row>
    <row r="945" spans="1:6" s="17" customFormat="1" ht="12.75">
      <c r="A945" s="89"/>
      <c r="B945" s="91"/>
      <c r="C945" s="63"/>
      <c r="D945" s="357"/>
      <c r="E945" s="357"/>
      <c r="F945" s="96"/>
    </row>
    <row r="946" spans="1:6" s="13" customFormat="1" ht="15.75">
      <c r="A946" s="89"/>
      <c r="B946" s="91"/>
      <c r="C946" s="63"/>
      <c r="D946" s="357"/>
      <c r="E946" s="357"/>
      <c r="F946" s="96"/>
    </row>
    <row r="947" spans="1:6" s="13" customFormat="1" ht="15.75">
      <c r="A947" s="89"/>
      <c r="B947" s="91"/>
      <c r="C947" s="63"/>
      <c r="D947" s="357"/>
      <c r="E947" s="357"/>
      <c r="F947" s="96"/>
    </row>
    <row r="948" spans="1:6" s="13" customFormat="1" ht="15.75">
      <c r="A948" s="89"/>
      <c r="B948" s="91"/>
      <c r="C948" s="63"/>
      <c r="D948" s="357"/>
      <c r="E948" s="357"/>
      <c r="F948" s="96"/>
    </row>
    <row r="949" spans="1:6" s="13" customFormat="1" ht="15.75">
      <c r="A949" s="89"/>
      <c r="B949" s="91"/>
      <c r="C949" s="63"/>
      <c r="D949" s="357"/>
      <c r="E949" s="357"/>
      <c r="F949" s="96"/>
    </row>
    <row r="950" spans="1:6" s="13" customFormat="1" ht="15.75">
      <c r="A950" s="89"/>
      <c r="B950" s="91"/>
      <c r="C950" s="63"/>
      <c r="D950" s="357"/>
      <c r="E950" s="357"/>
      <c r="F950" s="96"/>
    </row>
    <row r="951" spans="1:6" s="13" customFormat="1" ht="15.75">
      <c r="A951" s="89"/>
      <c r="B951" s="91"/>
      <c r="C951" s="63"/>
      <c r="D951" s="357"/>
      <c r="E951" s="357"/>
      <c r="F951" s="96"/>
    </row>
    <row r="952" spans="1:6" s="13" customFormat="1" ht="15.75">
      <c r="A952" s="89"/>
      <c r="B952" s="91"/>
      <c r="C952" s="63"/>
      <c r="D952" s="357"/>
      <c r="E952" s="357"/>
      <c r="F952" s="96"/>
    </row>
    <row r="953" spans="1:6" s="13" customFormat="1" ht="15.75">
      <c r="A953" s="89"/>
      <c r="B953" s="91"/>
      <c r="C953" s="63"/>
      <c r="D953" s="357"/>
      <c r="E953" s="357"/>
      <c r="F953" s="96"/>
    </row>
    <row r="954" spans="1:6" s="13" customFormat="1" ht="15.75">
      <c r="A954" s="89"/>
      <c r="B954" s="91"/>
      <c r="C954" s="63"/>
      <c r="D954" s="357"/>
      <c r="E954" s="357"/>
      <c r="F954" s="96"/>
    </row>
    <row r="955" spans="1:6" s="13" customFormat="1" ht="15.75">
      <c r="A955" s="89"/>
      <c r="B955" s="91"/>
      <c r="C955" s="63"/>
      <c r="D955" s="357"/>
      <c r="E955" s="357"/>
      <c r="F955" s="96"/>
    </row>
    <row r="956" spans="1:6" s="13" customFormat="1" ht="15.75">
      <c r="A956" s="89"/>
      <c r="B956" s="91"/>
      <c r="C956" s="63"/>
      <c r="D956" s="357"/>
      <c r="E956" s="357"/>
      <c r="F956" s="96"/>
    </row>
    <row r="957" spans="1:6" s="13" customFormat="1" ht="15.75">
      <c r="A957" s="89"/>
      <c r="B957" s="91"/>
      <c r="C957" s="63"/>
      <c r="D957" s="357"/>
      <c r="E957" s="357"/>
      <c r="F957" s="96"/>
    </row>
    <row r="958" spans="1:6" s="13" customFormat="1" ht="15.75">
      <c r="A958" s="89"/>
      <c r="B958" s="91"/>
      <c r="C958" s="63"/>
      <c r="D958" s="357"/>
      <c r="E958" s="357"/>
      <c r="F958" s="96"/>
    </row>
    <row r="959" spans="1:6" s="13" customFormat="1" ht="15.75">
      <c r="A959" s="89"/>
      <c r="B959" s="91"/>
      <c r="C959" s="63"/>
      <c r="D959" s="357"/>
      <c r="E959" s="357"/>
      <c r="F959" s="96"/>
    </row>
    <row r="960" spans="1:6" s="13" customFormat="1" ht="15.75">
      <c r="A960" s="89"/>
      <c r="B960" s="91"/>
      <c r="C960" s="63"/>
      <c r="D960" s="357"/>
      <c r="E960" s="357"/>
      <c r="F960" s="96"/>
    </row>
    <row r="961" spans="1:6" s="13" customFormat="1" ht="15.75">
      <c r="A961" s="89"/>
      <c r="B961" s="91"/>
      <c r="C961" s="63"/>
      <c r="D961" s="357"/>
      <c r="E961" s="357"/>
      <c r="F961" s="96"/>
    </row>
    <row r="962" spans="1:6" s="13" customFormat="1" ht="15.75">
      <c r="A962" s="89"/>
      <c r="B962" s="91"/>
      <c r="C962" s="63"/>
      <c r="D962" s="357"/>
      <c r="E962" s="357"/>
      <c r="F962" s="96"/>
    </row>
    <row r="963" spans="1:6" s="13" customFormat="1" ht="15.75">
      <c r="A963" s="89"/>
      <c r="B963" s="91"/>
      <c r="C963" s="63"/>
      <c r="D963" s="357"/>
      <c r="E963" s="357"/>
      <c r="F963" s="96"/>
    </row>
    <row r="964" spans="1:6" s="13" customFormat="1" ht="15.75">
      <c r="A964" s="89"/>
      <c r="B964" s="91"/>
      <c r="C964" s="63"/>
      <c r="D964" s="357"/>
      <c r="E964" s="357"/>
      <c r="F964" s="96"/>
    </row>
    <row r="965" spans="1:6" s="13" customFormat="1" ht="15.75">
      <c r="A965" s="89"/>
      <c r="B965" s="91"/>
      <c r="C965" s="63"/>
      <c r="D965" s="357"/>
      <c r="E965" s="357"/>
      <c r="F965" s="96"/>
    </row>
    <row r="966" spans="1:6" s="13" customFormat="1" ht="15.75">
      <c r="A966" s="89"/>
      <c r="B966" s="91"/>
      <c r="C966" s="63"/>
      <c r="D966" s="357"/>
      <c r="E966" s="357"/>
      <c r="F966" s="96"/>
    </row>
    <row r="967" spans="1:6" s="13" customFormat="1" ht="15.75">
      <c r="A967" s="89"/>
      <c r="B967" s="91"/>
      <c r="C967" s="63"/>
      <c r="D967" s="357"/>
      <c r="E967" s="357"/>
      <c r="F967" s="96"/>
    </row>
    <row r="968" spans="1:6" s="13" customFormat="1" ht="15.75">
      <c r="A968" s="89"/>
      <c r="B968" s="91"/>
      <c r="C968" s="63"/>
      <c r="D968" s="357"/>
      <c r="E968" s="357"/>
      <c r="F968" s="96"/>
    </row>
    <row r="969" spans="1:6" s="13" customFormat="1" ht="15.75">
      <c r="A969" s="89"/>
      <c r="B969" s="91"/>
      <c r="C969" s="63"/>
      <c r="D969" s="357"/>
      <c r="E969" s="357"/>
      <c r="F969" s="96"/>
    </row>
    <row r="970" spans="1:6" s="13" customFormat="1" ht="15.75">
      <c r="A970" s="89"/>
      <c r="B970" s="91"/>
      <c r="C970" s="63"/>
      <c r="D970" s="357"/>
      <c r="E970" s="357"/>
      <c r="F970" s="96"/>
    </row>
    <row r="971" spans="1:6" s="13" customFormat="1" ht="15.75">
      <c r="A971" s="89"/>
      <c r="B971" s="91"/>
      <c r="C971" s="63"/>
      <c r="D971" s="357"/>
      <c r="E971" s="357"/>
      <c r="F971" s="96"/>
    </row>
    <row r="972" spans="1:6" s="13" customFormat="1" ht="15.75">
      <c r="A972" s="89"/>
      <c r="B972" s="91"/>
      <c r="C972" s="63"/>
      <c r="D972" s="357"/>
      <c r="E972" s="357"/>
      <c r="F972" s="96"/>
    </row>
    <row r="973" spans="1:6" s="13" customFormat="1" ht="15.75">
      <c r="A973" s="89"/>
      <c r="B973" s="91"/>
      <c r="C973" s="63"/>
      <c r="D973" s="357"/>
      <c r="E973" s="357"/>
      <c r="F973" s="96"/>
    </row>
    <row r="974" spans="1:6" s="13" customFormat="1" ht="15.75">
      <c r="A974" s="89"/>
      <c r="B974" s="91"/>
      <c r="C974" s="63"/>
      <c r="D974" s="357"/>
      <c r="E974" s="357"/>
      <c r="F974" s="96"/>
    </row>
    <row r="975" spans="1:6" s="13" customFormat="1" ht="15.75">
      <c r="A975" s="89"/>
      <c r="B975" s="91"/>
      <c r="C975" s="63"/>
      <c r="D975" s="357"/>
      <c r="E975" s="357"/>
      <c r="F975" s="96"/>
    </row>
    <row r="976" spans="1:6" s="13" customFormat="1" ht="15.75">
      <c r="A976" s="89"/>
      <c r="B976" s="91"/>
      <c r="C976" s="63"/>
      <c r="D976" s="357"/>
      <c r="E976" s="357"/>
      <c r="F976" s="96"/>
    </row>
    <row r="977" spans="1:6" s="13" customFormat="1" ht="15.75">
      <c r="A977" s="89"/>
      <c r="B977" s="91"/>
      <c r="C977" s="63"/>
      <c r="D977" s="357"/>
      <c r="E977" s="357"/>
      <c r="F977" s="96"/>
    </row>
    <row r="978" spans="1:6" s="13" customFormat="1" ht="15.75">
      <c r="A978" s="89"/>
      <c r="B978" s="91"/>
      <c r="C978" s="63"/>
      <c r="D978" s="357"/>
      <c r="E978" s="357"/>
      <c r="F978" s="96"/>
    </row>
    <row r="979" spans="1:6" s="13" customFormat="1" ht="15.75">
      <c r="A979" s="89"/>
      <c r="B979" s="91"/>
      <c r="C979" s="63"/>
      <c r="D979" s="357"/>
      <c r="E979" s="357"/>
      <c r="F979" s="96"/>
    </row>
    <row r="980" spans="1:6" s="13" customFormat="1" ht="15.75">
      <c r="A980" s="89"/>
      <c r="B980" s="91"/>
      <c r="C980" s="63"/>
      <c r="D980" s="357"/>
      <c r="E980" s="357"/>
      <c r="F980" s="96"/>
    </row>
    <row r="981" spans="1:6" s="13" customFormat="1" ht="15.75">
      <c r="A981" s="89"/>
      <c r="B981" s="91"/>
      <c r="C981" s="63"/>
      <c r="D981" s="357"/>
      <c r="E981" s="357"/>
      <c r="F981" s="96"/>
    </row>
    <row r="982" spans="1:6" s="13" customFormat="1" ht="15.75">
      <c r="A982" s="89"/>
      <c r="B982" s="91"/>
      <c r="C982" s="63"/>
      <c r="D982" s="357"/>
      <c r="E982" s="357"/>
      <c r="F982" s="96"/>
    </row>
    <row r="983" spans="1:6" s="13" customFormat="1" ht="15.75">
      <c r="A983" s="89"/>
      <c r="B983" s="91"/>
      <c r="C983" s="63"/>
      <c r="D983" s="357"/>
      <c r="E983" s="357"/>
      <c r="F983" s="96"/>
    </row>
    <row r="984" spans="1:6" s="13" customFormat="1" ht="15.75">
      <c r="A984" s="89"/>
      <c r="B984" s="91"/>
      <c r="C984" s="63"/>
      <c r="D984" s="357"/>
      <c r="E984" s="357"/>
      <c r="F984" s="96"/>
    </row>
    <row r="985" spans="1:6" s="13" customFormat="1" ht="15.75">
      <c r="A985" s="89"/>
      <c r="B985" s="91"/>
      <c r="C985" s="63"/>
      <c r="D985" s="357"/>
      <c r="E985" s="357"/>
      <c r="F985" s="96"/>
    </row>
    <row r="986" spans="1:6" s="13" customFormat="1" ht="15.75">
      <c r="A986" s="89"/>
      <c r="B986" s="91"/>
      <c r="C986" s="63"/>
      <c r="D986" s="357"/>
      <c r="E986" s="357"/>
      <c r="F986" s="96"/>
    </row>
    <row r="987" spans="1:6" s="13" customFormat="1" ht="15.75">
      <c r="A987" s="89"/>
      <c r="B987" s="91"/>
      <c r="C987" s="63"/>
      <c r="D987" s="357"/>
      <c r="E987" s="357"/>
      <c r="F987" s="96"/>
    </row>
    <row r="988" spans="1:6" s="13" customFormat="1" ht="15.75">
      <c r="A988" s="89"/>
      <c r="B988" s="91"/>
      <c r="C988" s="63"/>
      <c r="D988" s="357"/>
      <c r="E988" s="357"/>
      <c r="F988" s="96"/>
    </row>
    <row r="989" spans="1:6" s="13" customFormat="1" ht="15.75">
      <c r="A989" s="89"/>
      <c r="B989" s="91"/>
      <c r="C989" s="63"/>
      <c r="D989" s="357"/>
      <c r="E989" s="357"/>
      <c r="F989" s="96"/>
    </row>
    <row r="990" spans="1:6" s="13" customFormat="1" ht="15.75">
      <c r="A990" s="89"/>
      <c r="B990" s="91"/>
      <c r="C990" s="63"/>
      <c r="D990" s="357"/>
      <c r="E990" s="357"/>
      <c r="F990" s="96"/>
    </row>
    <row r="991" spans="1:6" s="13" customFormat="1" ht="15.75">
      <c r="A991" s="89"/>
      <c r="B991" s="91"/>
      <c r="C991" s="63"/>
      <c r="D991" s="357"/>
      <c r="E991" s="357"/>
      <c r="F991" s="96"/>
    </row>
    <row r="992" spans="1:6" s="13" customFormat="1" ht="15.75">
      <c r="A992" s="89"/>
      <c r="B992" s="91"/>
      <c r="C992" s="63"/>
      <c r="D992" s="357"/>
      <c r="E992" s="357"/>
      <c r="F992" s="96"/>
    </row>
    <row r="993" spans="1:6" s="13" customFormat="1" ht="15.75">
      <c r="A993" s="89"/>
      <c r="B993" s="91"/>
      <c r="C993" s="63"/>
      <c r="D993" s="357"/>
      <c r="E993" s="357"/>
      <c r="F993" s="96"/>
    </row>
    <row r="994" spans="1:6" s="13" customFormat="1" ht="15.75">
      <c r="A994" s="89"/>
      <c r="B994" s="91"/>
      <c r="C994" s="63"/>
      <c r="D994" s="357"/>
      <c r="E994" s="357"/>
      <c r="F994" s="96"/>
    </row>
    <row r="995" spans="1:6" s="13" customFormat="1" ht="15.75">
      <c r="A995" s="89"/>
      <c r="B995" s="91"/>
      <c r="C995" s="63"/>
      <c r="D995" s="357"/>
      <c r="E995" s="357"/>
      <c r="F995" s="96"/>
    </row>
    <row r="996" spans="1:6" s="13" customFormat="1" ht="15.75">
      <c r="A996" s="89"/>
      <c r="B996" s="91"/>
      <c r="C996" s="63"/>
      <c r="D996" s="357"/>
      <c r="E996" s="357"/>
      <c r="F996" s="96"/>
    </row>
    <row r="997" spans="1:6" s="13" customFormat="1" ht="15.75">
      <c r="A997" s="89"/>
      <c r="B997" s="91"/>
      <c r="C997" s="63"/>
      <c r="D997" s="357"/>
      <c r="E997" s="357"/>
      <c r="F997" s="96"/>
    </row>
    <row r="998" spans="1:6" s="13" customFormat="1" ht="15.75">
      <c r="A998" s="89"/>
      <c r="B998" s="91"/>
      <c r="C998" s="63"/>
      <c r="D998" s="357"/>
      <c r="E998" s="357"/>
      <c r="F998" s="96"/>
    </row>
    <row r="999" spans="1:6" s="13" customFormat="1" ht="15.75">
      <c r="A999" s="89"/>
      <c r="B999" s="91"/>
      <c r="C999" s="63"/>
      <c r="D999" s="357"/>
      <c r="E999" s="357"/>
      <c r="F999" s="96"/>
    </row>
    <row r="1000" spans="1:6" s="13" customFormat="1" ht="15.75">
      <c r="A1000" s="89"/>
      <c r="B1000" s="91"/>
      <c r="C1000" s="63"/>
      <c r="D1000" s="357"/>
      <c r="E1000" s="357"/>
      <c r="F1000" s="96"/>
    </row>
    <row r="1001" spans="1:6" s="13" customFormat="1" ht="15.75">
      <c r="A1001" s="89"/>
      <c r="B1001" s="91"/>
      <c r="C1001" s="63"/>
      <c r="D1001" s="357"/>
      <c r="E1001" s="357"/>
      <c r="F1001" s="96"/>
    </row>
    <row r="1002" spans="1:6" s="13" customFormat="1" ht="15.75">
      <c r="A1002" s="89"/>
      <c r="B1002" s="91"/>
      <c r="C1002" s="63"/>
      <c r="D1002" s="357"/>
      <c r="E1002" s="357"/>
      <c r="F1002" s="96"/>
    </row>
    <row r="1003" spans="1:6" s="13" customFormat="1" ht="15.75">
      <c r="A1003" s="89"/>
      <c r="B1003" s="91"/>
      <c r="C1003" s="63"/>
      <c r="D1003" s="357"/>
      <c r="E1003" s="357"/>
      <c r="F1003" s="96"/>
    </row>
    <row r="1004" spans="1:6" s="13" customFormat="1" ht="15.75">
      <c r="A1004" s="89"/>
      <c r="B1004" s="91"/>
      <c r="C1004" s="63"/>
      <c r="D1004" s="357"/>
      <c r="E1004" s="357"/>
      <c r="F1004" s="96"/>
    </row>
    <row r="1005" spans="1:6" s="13" customFormat="1" ht="15.75">
      <c r="A1005" s="89"/>
      <c r="B1005" s="91"/>
      <c r="C1005" s="63"/>
      <c r="D1005" s="357"/>
      <c r="E1005" s="357"/>
      <c r="F1005" s="96"/>
    </row>
    <row r="1006" spans="1:6" s="13" customFormat="1" ht="15.75">
      <c r="A1006" s="89"/>
      <c r="B1006" s="91"/>
      <c r="C1006" s="63"/>
      <c r="D1006" s="357"/>
      <c r="E1006" s="357"/>
      <c r="F1006" s="96"/>
    </row>
    <row r="1007" spans="1:6" s="13" customFormat="1" ht="15.75">
      <c r="A1007" s="89"/>
      <c r="B1007" s="91"/>
      <c r="C1007" s="63"/>
      <c r="D1007" s="357"/>
      <c r="E1007" s="357"/>
      <c r="F1007" s="96"/>
    </row>
    <row r="1008" spans="1:6" s="13" customFormat="1" ht="15.75">
      <c r="A1008" s="89"/>
      <c r="B1008" s="91"/>
      <c r="C1008" s="63"/>
      <c r="D1008" s="357"/>
      <c r="E1008" s="357"/>
      <c r="F1008" s="96"/>
    </row>
    <row r="1009" spans="1:6" s="13" customFormat="1" ht="15.75">
      <c r="A1009" s="89"/>
      <c r="B1009" s="91"/>
      <c r="C1009" s="63"/>
      <c r="D1009" s="357"/>
      <c r="E1009" s="357"/>
      <c r="F1009" s="96"/>
    </row>
    <row r="1010" spans="1:6" s="13" customFormat="1" ht="15.75">
      <c r="A1010" s="89"/>
      <c r="B1010" s="91"/>
      <c r="C1010" s="63"/>
      <c r="D1010" s="357"/>
      <c r="E1010" s="357"/>
      <c r="F1010" s="96"/>
    </row>
    <row r="1011" spans="1:6" s="13" customFormat="1" ht="15.75">
      <c r="A1011" s="89"/>
      <c r="B1011" s="91"/>
      <c r="C1011" s="63"/>
      <c r="D1011" s="357"/>
      <c r="E1011" s="357"/>
      <c r="F1011" s="96"/>
    </row>
    <row r="1012" spans="1:6" s="13" customFormat="1" ht="15.75">
      <c r="A1012" s="89"/>
      <c r="B1012" s="91"/>
      <c r="C1012" s="63"/>
      <c r="D1012" s="357"/>
      <c r="E1012" s="357"/>
      <c r="F1012" s="96"/>
    </row>
    <row r="1013" spans="1:6" s="13" customFormat="1" ht="15.75">
      <c r="A1013" s="89"/>
      <c r="B1013" s="91"/>
      <c r="C1013" s="63"/>
      <c r="D1013" s="357"/>
      <c r="E1013" s="357"/>
      <c r="F1013" s="96"/>
    </row>
    <row r="1014" spans="1:6" s="13" customFormat="1" ht="15.75">
      <c r="A1014" s="89"/>
      <c r="B1014" s="91"/>
      <c r="C1014" s="63"/>
      <c r="D1014" s="357"/>
      <c r="E1014" s="357"/>
      <c r="F1014" s="96"/>
    </row>
    <row r="1015" spans="1:6" s="13" customFormat="1" ht="15.75">
      <c r="A1015" s="89"/>
      <c r="B1015" s="91"/>
      <c r="C1015" s="63"/>
      <c r="D1015" s="357"/>
      <c r="E1015" s="357"/>
      <c r="F1015" s="96"/>
    </row>
    <row r="1016" spans="1:6" s="13" customFormat="1" ht="15.75">
      <c r="A1016" s="89"/>
      <c r="B1016" s="91"/>
      <c r="C1016" s="63"/>
      <c r="D1016" s="357"/>
      <c r="E1016" s="357"/>
      <c r="F1016" s="96"/>
    </row>
    <row r="1017" spans="1:6" s="13" customFormat="1" ht="15.75">
      <c r="A1017" s="89"/>
      <c r="B1017" s="91"/>
      <c r="C1017" s="63"/>
      <c r="D1017" s="357"/>
      <c r="E1017" s="357"/>
      <c r="F1017" s="96"/>
    </row>
    <row r="1018" spans="1:6" s="13" customFormat="1" ht="15.75">
      <c r="A1018" s="89"/>
      <c r="B1018" s="91"/>
      <c r="C1018" s="63"/>
      <c r="D1018" s="357"/>
      <c r="E1018" s="357"/>
      <c r="F1018" s="96"/>
    </row>
    <row r="1019" spans="1:6" s="13" customFormat="1" ht="15.75">
      <c r="A1019" s="89"/>
      <c r="B1019" s="91"/>
      <c r="C1019" s="63"/>
      <c r="D1019" s="357"/>
      <c r="E1019" s="357"/>
      <c r="F1019" s="96"/>
    </row>
    <row r="1020" spans="1:6" s="13" customFormat="1" ht="15.75">
      <c r="A1020" s="89"/>
      <c r="B1020" s="91"/>
      <c r="C1020" s="63"/>
      <c r="D1020" s="357"/>
      <c r="E1020" s="357"/>
      <c r="F1020" s="96"/>
    </row>
    <row r="1021" spans="1:6" s="13" customFormat="1" ht="15.75">
      <c r="A1021" s="89"/>
      <c r="B1021" s="91"/>
      <c r="C1021" s="63"/>
      <c r="D1021" s="357"/>
      <c r="E1021" s="357"/>
      <c r="F1021" s="96"/>
    </row>
    <row r="1022" spans="1:6" s="13" customFormat="1" ht="15.75">
      <c r="A1022" s="89"/>
      <c r="B1022" s="91"/>
      <c r="C1022" s="63"/>
      <c r="D1022" s="357"/>
      <c r="E1022" s="357"/>
      <c r="F1022" s="96"/>
    </row>
    <row r="1023" spans="1:6" s="13" customFormat="1" ht="15.75">
      <c r="A1023" s="89"/>
      <c r="B1023" s="91"/>
      <c r="C1023" s="63"/>
      <c r="D1023" s="357"/>
      <c r="E1023" s="357"/>
      <c r="F1023" s="96"/>
    </row>
    <row r="1024" spans="1:6" s="13" customFormat="1" ht="15.75">
      <c r="A1024" s="89"/>
      <c r="B1024" s="91"/>
      <c r="C1024" s="63"/>
      <c r="D1024" s="357"/>
      <c r="E1024" s="357"/>
      <c r="F1024" s="96"/>
    </row>
    <row r="1025" spans="1:6" s="13" customFormat="1" ht="15.75">
      <c r="A1025" s="89"/>
      <c r="B1025" s="91"/>
      <c r="C1025" s="63"/>
      <c r="D1025" s="357"/>
      <c r="E1025" s="357"/>
      <c r="F1025" s="96"/>
    </row>
    <row r="1026" spans="1:6" s="13" customFormat="1" ht="15.75">
      <c r="A1026" s="89"/>
      <c r="B1026" s="91"/>
      <c r="C1026" s="63"/>
      <c r="D1026" s="357"/>
      <c r="E1026" s="357"/>
      <c r="F1026" s="96"/>
    </row>
    <row r="1027" spans="1:6" s="13" customFormat="1" ht="15.75">
      <c r="A1027" s="89"/>
      <c r="B1027" s="91"/>
      <c r="C1027" s="63"/>
      <c r="D1027" s="357"/>
      <c r="E1027" s="357"/>
      <c r="F1027" s="96"/>
    </row>
    <row r="1028" spans="1:6" s="13" customFormat="1" ht="15.75">
      <c r="A1028" s="89"/>
      <c r="B1028" s="91"/>
      <c r="C1028" s="63"/>
      <c r="D1028" s="357"/>
      <c r="E1028" s="357"/>
      <c r="F1028" s="96"/>
    </row>
    <row r="1029" spans="1:6" s="13" customFormat="1" ht="15.75">
      <c r="A1029" s="89"/>
      <c r="B1029" s="91"/>
      <c r="C1029" s="63"/>
      <c r="D1029" s="357"/>
      <c r="E1029" s="357"/>
      <c r="F1029" s="96"/>
    </row>
    <row r="1030" spans="1:6" s="13" customFormat="1" ht="15.75">
      <c r="A1030" s="89"/>
      <c r="B1030" s="91"/>
      <c r="C1030" s="63"/>
      <c r="D1030" s="357"/>
      <c r="E1030" s="357"/>
      <c r="F1030" s="96"/>
    </row>
    <row r="1031" spans="1:6" s="13" customFormat="1" ht="15.75">
      <c r="A1031" s="89"/>
      <c r="B1031" s="91"/>
      <c r="C1031" s="63"/>
      <c r="D1031" s="357"/>
      <c r="E1031" s="357"/>
      <c r="F1031" s="96"/>
    </row>
    <row r="1032" spans="1:6" s="13" customFormat="1" ht="15.75">
      <c r="A1032" s="89"/>
      <c r="B1032" s="91"/>
      <c r="C1032" s="63"/>
      <c r="D1032" s="357"/>
      <c r="E1032" s="357"/>
      <c r="F1032" s="96"/>
    </row>
    <row r="1033" spans="1:6" s="13" customFormat="1" ht="15.75">
      <c r="A1033" s="89"/>
      <c r="B1033" s="91"/>
      <c r="C1033" s="63"/>
      <c r="D1033" s="357"/>
      <c r="E1033" s="357"/>
      <c r="F1033" s="96"/>
    </row>
    <row r="1034" spans="1:6" s="13" customFormat="1" ht="15.75">
      <c r="A1034" s="89"/>
      <c r="B1034" s="91"/>
      <c r="C1034" s="63"/>
      <c r="D1034" s="357"/>
      <c r="E1034" s="357"/>
      <c r="F1034" s="96"/>
    </row>
    <row r="1035" spans="1:6" s="13" customFormat="1" ht="15.75">
      <c r="A1035" s="89"/>
      <c r="B1035" s="91"/>
      <c r="C1035" s="63"/>
      <c r="D1035" s="357"/>
      <c r="E1035" s="357"/>
      <c r="F1035" s="96"/>
    </row>
    <row r="1036" spans="1:6" s="13" customFormat="1" ht="15.75">
      <c r="A1036" s="89"/>
      <c r="B1036" s="91"/>
      <c r="C1036" s="63"/>
      <c r="D1036" s="357"/>
      <c r="E1036" s="357"/>
      <c r="F1036" s="96"/>
    </row>
    <row r="1037" spans="1:6" s="13" customFormat="1" ht="15.75">
      <c r="A1037" s="89"/>
      <c r="B1037" s="91"/>
      <c r="C1037" s="63"/>
      <c r="D1037" s="357"/>
      <c r="E1037" s="357"/>
      <c r="F1037" s="96"/>
    </row>
    <row r="1038" spans="1:6" s="13" customFormat="1" ht="15.75">
      <c r="A1038" s="89"/>
      <c r="B1038" s="91"/>
      <c r="C1038" s="63"/>
      <c r="D1038" s="357"/>
      <c r="E1038" s="357"/>
      <c r="F1038" s="96"/>
    </row>
    <row r="1039" spans="1:6" s="13" customFormat="1" ht="15.75">
      <c r="A1039" s="89"/>
      <c r="B1039" s="91"/>
      <c r="C1039" s="63"/>
      <c r="D1039" s="357"/>
      <c r="E1039" s="357"/>
      <c r="F1039" s="96"/>
    </row>
    <row r="1040" spans="1:6" s="13" customFormat="1" ht="15.75">
      <c r="A1040" s="89"/>
      <c r="B1040" s="91"/>
      <c r="C1040" s="63"/>
      <c r="D1040" s="357"/>
      <c r="E1040" s="357"/>
      <c r="F1040" s="96"/>
    </row>
    <row r="1041" spans="1:6" s="13" customFormat="1" ht="15.75">
      <c r="A1041" s="89"/>
      <c r="B1041" s="91"/>
      <c r="C1041" s="63"/>
      <c r="D1041" s="357"/>
      <c r="E1041" s="357"/>
      <c r="F1041" s="96"/>
    </row>
    <row r="1042" spans="1:6" s="13" customFormat="1" ht="15.75">
      <c r="A1042" s="89"/>
      <c r="B1042" s="91"/>
      <c r="C1042" s="63"/>
      <c r="D1042" s="357"/>
      <c r="E1042" s="357"/>
      <c r="F1042" s="96"/>
    </row>
    <row r="1043" spans="1:6" s="13" customFormat="1" ht="15.75">
      <c r="A1043" s="89"/>
      <c r="B1043" s="91"/>
      <c r="C1043" s="63"/>
      <c r="D1043" s="357"/>
      <c r="E1043" s="357"/>
      <c r="F1043" s="96"/>
    </row>
    <row r="1044" spans="1:6" s="13" customFormat="1" ht="15.75">
      <c r="A1044" s="89"/>
      <c r="B1044" s="91"/>
      <c r="C1044" s="63"/>
      <c r="D1044" s="357"/>
      <c r="E1044" s="357"/>
      <c r="F1044" s="96"/>
    </row>
    <row r="1045" spans="1:6" s="13" customFormat="1" ht="15.75">
      <c r="A1045" s="89"/>
      <c r="B1045" s="91"/>
      <c r="C1045" s="63"/>
      <c r="D1045" s="357"/>
      <c r="E1045" s="357"/>
      <c r="F1045" s="96"/>
    </row>
    <row r="1046" spans="1:6" s="13" customFormat="1" ht="15.75">
      <c r="A1046" s="89"/>
      <c r="B1046" s="91"/>
      <c r="C1046" s="63"/>
      <c r="D1046" s="357"/>
      <c r="E1046" s="357"/>
      <c r="F1046" s="96"/>
    </row>
    <row r="1047" spans="1:6" s="13" customFormat="1" ht="15.75">
      <c r="A1047" s="89"/>
      <c r="B1047" s="91"/>
      <c r="C1047" s="63"/>
      <c r="D1047" s="357"/>
      <c r="E1047" s="357"/>
      <c r="F1047" s="96"/>
    </row>
    <row r="1048" spans="1:6" s="13" customFormat="1" ht="15.75">
      <c r="A1048" s="89"/>
      <c r="B1048" s="91"/>
      <c r="C1048" s="63"/>
      <c r="D1048" s="357"/>
      <c r="E1048" s="357"/>
      <c r="F1048" s="96"/>
    </row>
    <row r="1049" spans="1:6" s="13" customFormat="1" ht="15.75">
      <c r="A1049" s="89"/>
      <c r="B1049" s="91"/>
      <c r="C1049" s="63"/>
      <c r="D1049" s="357"/>
      <c r="E1049" s="357"/>
      <c r="F1049" s="96"/>
    </row>
    <row r="1050" spans="1:6" s="13" customFormat="1" ht="15.75">
      <c r="A1050" s="89"/>
      <c r="B1050" s="91"/>
      <c r="C1050" s="63"/>
      <c r="D1050" s="357"/>
      <c r="E1050" s="357"/>
      <c r="F1050" s="96"/>
    </row>
    <row r="1051" spans="1:6" s="13" customFormat="1" ht="15.75">
      <c r="A1051" s="89"/>
      <c r="B1051" s="91"/>
      <c r="C1051" s="63"/>
      <c r="D1051" s="357"/>
      <c r="E1051" s="357"/>
      <c r="F1051" s="96"/>
    </row>
    <row r="1052" spans="1:6" s="13" customFormat="1" ht="15.75">
      <c r="A1052" s="89"/>
      <c r="B1052" s="91"/>
      <c r="C1052" s="63"/>
      <c r="D1052" s="357"/>
      <c r="E1052" s="357"/>
      <c r="F1052" s="96"/>
    </row>
    <row r="1053" spans="1:6" s="13" customFormat="1" ht="15.75">
      <c r="A1053" s="89"/>
      <c r="B1053" s="91"/>
      <c r="C1053" s="63"/>
      <c r="D1053" s="357"/>
      <c r="E1053" s="357"/>
      <c r="F1053" s="96"/>
    </row>
    <row r="1054" spans="1:6" s="13" customFormat="1" ht="15.75">
      <c r="A1054" s="89"/>
      <c r="B1054" s="91"/>
      <c r="C1054" s="63"/>
      <c r="D1054" s="357"/>
      <c r="E1054" s="357"/>
      <c r="F1054" s="96"/>
    </row>
    <row r="1055" spans="1:6" s="13" customFormat="1" ht="15.75">
      <c r="A1055" s="89"/>
      <c r="B1055" s="91"/>
      <c r="C1055" s="63"/>
      <c r="D1055" s="357"/>
      <c r="E1055" s="357"/>
      <c r="F1055" s="96"/>
    </row>
    <row r="1056" spans="1:6" s="13" customFormat="1" ht="15.75">
      <c r="A1056" s="89"/>
      <c r="B1056" s="91"/>
      <c r="C1056" s="63"/>
      <c r="D1056" s="357"/>
      <c r="E1056" s="357"/>
      <c r="F1056" s="96"/>
    </row>
    <row r="1057" spans="1:6" s="13" customFormat="1" ht="15.75">
      <c r="A1057" s="89"/>
      <c r="B1057" s="91"/>
      <c r="C1057" s="63"/>
      <c r="D1057" s="357"/>
      <c r="E1057" s="357"/>
      <c r="F1057" s="96"/>
    </row>
    <row r="1058" spans="1:6" s="13" customFormat="1" ht="15.75">
      <c r="A1058" s="89"/>
      <c r="B1058" s="91"/>
      <c r="C1058" s="63"/>
      <c r="D1058" s="357"/>
      <c r="E1058" s="357"/>
      <c r="F1058" s="96"/>
    </row>
    <row r="1059" spans="1:6" s="13" customFormat="1" ht="15.75">
      <c r="A1059" s="89"/>
      <c r="B1059" s="91"/>
      <c r="C1059" s="63"/>
      <c r="D1059" s="357"/>
      <c r="E1059" s="357"/>
      <c r="F1059" s="96"/>
    </row>
    <row r="1060" spans="1:6" s="13" customFormat="1" ht="15.75">
      <c r="A1060" s="89"/>
      <c r="B1060" s="91"/>
      <c r="C1060" s="63"/>
      <c r="D1060" s="357"/>
      <c r="E1060" s="357"/>
      <c r="F1060" s="96"/>
    </row>
    <row r="1061" spans="1:6" s="13" customFormat="1" ht="15.75">
      <c r="A1061" s="89"/>
      <c r="B1061" s="91"/>
      <c r="C1061" s="63"/>
      <c r="D1061" s="357"/>
      <c r="E1061" s="357"/>
      <c r="F1061" s="96"/>
    </row>
    <row r="1062" spans="1:6" s="13" customFormat="1" ht="15.75">
      <c r="A1062" s="89"/>
      <c r="B1062" s="91"/>
      <c r="C1062" s="63"/>
      <c r="D1062" s="357"/>
      <c r="E1062" s="357"/>
      <c r="F1062" s="96"/>
    </row>
    <row r="1063" spans="1:6" s="13" customFormat="1" ht="15.75">
      <c r="A1063" s="89"/>
      <c r="B1063" s="91"/>
      <c r="C1063" s="63"/>
      <c r="D1063" s="357"/>
      <c r="E1063" s="357"/>
      <c r="F1063" s="96"/>
    </row>
    <row r="1064" spans="1:6" s="13" customFormat="1" ht="15.75">
      <c r="A1064" s="89"/>
      <c r="B1064" s="91"/>
      <c r="C1064" s="63"/>
      <c r="D1064" s="357"/>
      <c r="E1064" s="357"/>
      <c r="F1064" s="96"/>
    </row>
    <row r="1065" spans="1:6" s="13" customFormat="1" ht="15.75">
      <c r="A1065" s="89"/>
      <c r="B1065" s="91"/>
      <c r="C1065" s="63"/>
      <c r="D1065" s="357"/>
      <c r="E1065" s="357"/>
      <c r="F1065" s="96"/>
    </row>
    <row r="1066" spans="1:6" s="13" customFormat="1" ht="15.75">
      <c r="A1066" s="89"/>
      <c r="B1066" s="91"/>
      <c r="C1066" s="63"/>
      <c r="D1066" s="357"/>
      <c r="E1066" s="357"/>
      <c r="F1066" s="96"/>
    </row>
    <row r="1067" spans="1:6" s="13" customFormat="1" ht="15.75">
      <c r="A1067" s="89"/>
      <c r="B1067" s="91"/>
      <c r="C1067" s="63"/>
      <c r="D1067" s="357"/>
      <c r="E1067" s="357"/>
      <c r="F1067" s="96"/>
    </row>
    <row r="1068" spans="1:6" s="13" customFormat="1" ht="15.75">
      <c r="A1068" s="89"/>
      <c r="B1068" s="91"/>
      <c r="C1068" s="63"/>
      <c r="D1068" s="357"/>
      <c r="E1068" s="357"/>
      <c r="F1068" s="96"/>
    </row>
    <row r="1069" spans="1:6" s="13" customFormat="1" ht="15.75">
      <c r="A1069" s="89"/>
      <c r="B1069" s="91"/>
      <c r="C1069" s="63"/>
      <c r="D1069" s="357"/>
      <c r="E1069" s="357"/>
      <c r="F1069" s="96"/>
    </row>
    <row r="1070" spans="1:6" s="13" customFormat="1" ht="15.75">
      <c r="A1070" s="89"/>
      <c r="B1070" s="91"/>
      <c r="C1070" s="63"/>
      <c r="D1070" s="357"/>
      <c r="E1070" s="357"/>
      <c r="F1070" s="96"/>
    </row>
    <row r="1071" spans="1:6" s="13" customFormat="1" ht="15.75">
      <c r="A1071" s="89"/>
      <c r="B1071" s="91"/>
      <c r="C1071" s="63"/>
      <c r="D1071" s="357"/>
      <c r="E1071" s="357"/>
      <c r="F1071" s="96"/>
    </row>
    <row r="1072" spans="1:6" s="13" customFormat="1" ht="15.75">
      <c r="A1072" s="89"/>
      <c r="B1072" s="91"/>
      <c r="C1072" s="63"/>
      <c r="D1072" s="357"/>
      <c r="E1072" s="357"/>
      <c r="F1072" s="96"/>
    </row>
    <row r="1073" spans="1:6" s="13" customFormat="1" ht="15.75">
      <c r="A1073" s="89"/>
      <c r="B1073" s="91"/>
      <c r="C1073" s="63"/>
      <c r="D1073" s="357"/>
      <c r="E1073" s="357"/>
      <c r="F1073" s="96"/>
    </row>
    <row r="1074" spans="1:6" s="13" customFormat="1" ht="15.75">
      <c r="A1074" s="89"/>
      <c r="B1074" s="91"/>
      <c r="C1074" s="63"/>
      <c r="D1074" s="357"/>
      <c r="E1074" s="357"/>
      <c r="F1074" s="96"/>
    </row>
    <row r="1075" spans="1:6" s="13" customFormat="1" ht="15.75">
      <c r="A1075" s="89"/>
      <c r="B1075" s="91"/>
      <c r="C1075" s="63"/>
      <c r="D1075" s="357"/>
      <c r="E1075" s="357"/>
      <c r="F1075" s="96"/>
    </row>
    <row r="1076" spans="1:6" s="13" customFormat="1" ht="15.75">
      <c r="A1076" s="89"/>
      <c r="B1076" s="91"/>
      <c r="C1076" s="63"/>
      <c r="D1076" s="357"/>
      <c r="E1076" s="357"/>
      <c r="F1076" s="96"/>
    </row>
    <row r="1077" spans="1:6" s="13" customFormat="1" ht="15.75">
      <c r="A1077" s="89"/>
      <c r="B1077" s="91"/>
      <c r="C1077" s="63"/>
      <c r="D1077" s="357"/>
      <c r="E1077" s="357"/>
      <c r="F1077" s="96"/>
    </row>
    <row r="1078" spans="1:6" s="13" customFormat="1" ht="15.75">
      <c r="A1078" s="89"/>
      <c r="B1078" s="91"/>
      <c r="C1078" s="63"/>
      <c r="D1078" s="357"/>
      <c r="E1078" s="357"/>
      <c r="F1078" s="96"/>
    </row>
    <row r="1079" spans="1:6" s="13" customFormat="1" ht="15.75">
      <c r="A1079" s="89"/>
      <c r="B1079" s="91"/>
      <c r="C1079" s="63"/>
      <c r="D1079" s="357"/>
      <c r="E1079" s="357"/>
      <c r="F1079" s="96"/>
    </row>
    <row r="1080" spans="1:6" s="13" customFormat="1" ht="15.75">
      <c r="A1080" s="89"/>
      <c r="B1080" s="91"/>
      <c r="C1080" s="63"/>
      <c r="D1080" s="357"/>
      <c r="E1080" s="357"/>
      <c r="F1080" s="96"/>
    </row>
    <row r="1081" spans="1:6" s="13" customFormat="1" ht="15.75">
      <c r="A1081" s="89"/>
      <c r="B1081" s="91"/>
      <c r="C1081" s="63"/>
      <c r="D1081" s="357"/>
      <c r="E1081" s="357"/>
      <c r="F1081" s="96"/>
    </row>
    <row r="1082" spans="1:6" s="13" customFormat="1" ht="15.75">
      <c r="A1082" s="89"/>
      <c r="B1082" s="91"/>
      <c r="C1082" s="63"/>
      <c r="D1082" s="357"/>
      <c r="E1082" s="357"/>
      <c r="F1082" s="96"/>
    </row>
    <row r="1083" spans="1:6" s="13" customFormat="1" ht="15.75">
      <c r="A1083" s="89"/>
      <c r="B1083" s="91"/>
      <c r="C1083" s="63"/>
      <c r="D1083" s="357"/>
      <c r="E1083" s="357"/>
      <c r="F1083" s="96"/>
    </row>
    <row r="1084" spans="1:6" s="13" customFormat="1" ht="15.75">
      <c r="A1084" s="89"/>
      <c r="B1084" s="91"/>
      <c r="C1084" s="63"/>
      <c r="D1084" s="357"/>
      <c r="E1084" s="357"/>
      <c r="F1084" s="96"/>
    </row>
    <row r="1085" spans="1:6" s="13" customFormat="1" ht="15.75">
      <c r="A1085" s="89"/>
      <c r="B1085" s="91"/>
      <c r="C1085" s="63"/>
      <c r="D1085" s="357"/>
      <c r="E1085" s="357"/>
      <c r="F1085" s="96"/>
    </row>
    <row r="1086" spans="1:6" s="13" customFormat="1" ht="15.75">
      <c r="A1086" s="89"/>
      <c r="B1086" s="91"/>
      <c r="C1086" s="63"/>
      <c r="D1086" s="357"/>
      <c r="E1086" s="357"/>
      <c r="F1086" s="96"/>
    </row>
    <row r="1087" spans="1:6" s="13" customFormat="1" ht="15.75">
      <c r="A1087" s="89"/>
      <c r="B1087" s="91"/>
      <c r="C1087" s="63"/>
      <c r="D1087" s="357"/>
      <c r="E1087" s="357"/>
      <c r="F1087" s="96"/>
    </row>
    <row r="1088" spans="1:6" ht="15.75">
      <c r="A1088" s="89"/>
      <c r="B1088" s="91"/>
      <c r="C1088" s="63"/>
      <c r="D1088" s="357"/>
      <c r="E1088" s="357"/>
      <c r="F1088" s="96"/>
    </row>
    <row r="1089" spans="1:6" ht="15.75">
      <c r="A1089" s="89"/>
      <c r="B1089" s="91"/>
      <c r="C1089" s="63"/>
      <c r="D1089" s="357"/>
      <c r="E1089" s="357"/>
      <c r="F1089" s="96"/>
    </row>
    <row r="1090" spans="1:6" ht="15.75">
      <c r="A1090" s="89"/>
      <c r="B1090" s="91"/>
      <c r="C1090" s="63"/>
      <c r="D1090" s="357"/>
      <c r="E1090" s="357"/>
      <c r="F1090" s="96"/>
    </row>
    <row r="1091" spans="1:6" ht="15.75">
      <c r="A1091" s="89"/>
      <c r="B1091" s="91"/>
      <c r="C1091" s="63"/>
      <c r="D1091" s="357"/>
      <c r="E1091" s="357"/>
      <c r="F1091" s="96"/>
    </row>
    <row r="1092" spans="1:6" ht="15.75">
      <c r="A1092" s="89"/>
      <c r="B1092" s="91"/>
      <c r="C1092" s="63"/>
      <c r="D1092" s="357"/>
      <c r="E1092" s="357"/>
      <c r="F1092" s="96"/>
    </row>
    <row r="1093" spans="1:6" ht="15.75">
      <c r="A1093" s="89"/>
      <c r="B1093" s="91"/>
      <c r="C1093" s="63"/>
      <c r="D1093" s="357"/>
      <c r="E1093" s="357"/>
      <c r="F1093" s="96"/>
    </row>
    <row r="1094" spans="1:6" ht="15.75">
      <c r="A1094" s="89"/>
      <c r="B1094" s="91"/>
      <c r="C1094" s="63"/>
      <c r="D1094" s="357"/>
      <c r="E1094" s="357"/>
      <c r="F1094" s="96"/>
    </row>
    <row r="1095" spans="1:6" ht="15.75">
      <c r="A1095" s="89"/>
      <c r="B1095" s="91"/>
      <c r="C1095" s="63"/>
      <c r="D1095" s="357"/>
      <c r="E1095" s="357"/>
      <c r="F1095" s="96"/>
    </row>
    <row r="1096" spans="1:6" ht="15.75">
      <c r="A1096" s="89"/>
      <c r="B1096" s="91"/>
      <c r="C1096" s="63"/>
      <c r="D1096" s="357"/>
      <c r="E1096" s="357"/>
      <c r="F1096" s="96"/>
    </row>
    <row r="1097" spans="1:6" ht="15.75">
      <c r="A1097" s="89"/>
      <c r="B1097" s="91"/>
      <c r="C1097" s="63"/>
      <c r="D1097" s="357"/>
      <c r="E1097" s="357"/>
      <c r="F1097" s="96"/>
    </row>
    <row r="1098" spans="1:6" ht="15.75">
      <c r="A1098" s="89"/>
      <c r="B1098" s="91"/>
      <c r="C1098" s="63"/>
      <c r="D1098" s="357"/>
      <c r="E1098" s="357"/>
      <c r="F1098" s="96"/>
    </row>
    <row r="1099" spans="1:6" ht="15.75">
      <c r="A1099" s="89"/>
      <c r="B1099" s="91"/>
      <c r="C1099" s="63"/>
      <c r="D1099" s="357"/>
      <c r="E1099" s="357"/>
      <c r="F1099" s="96"/>
    </row>
    <row r="1100" spans="1:6" ht="15.75">
      <c r="A1100" s="89"/>
      <c r="B1100" s="91"/>
      <c r="C1100" s="63"/>
      <c r="D1100" s="357"/>
      <c r="E1100" s="357"/>
      <c r="F1100" s="96"/>
    </row>
    <row r="1101" spans="1:6" ht="15.75">
      <c r="A1101" s="89"/>
      <c r="B1101" s="91"/>
      <c r="C1101" s="63"/>
      <c r="D1101" s="357"/>
      <c r="E1101" s="357"/>
      <c r="F1101" s="96"/>
    </row>
    <row r="1102" spans="1:6" ht="15.75">
      <c r="A1102" s="89"/>
      <c r="B1102" s="91"/>
      <c r="C1102" s="63"/>
      <c r="D1102" s="357"/>
      <c r="E1102" s="357"/>
      <c r="F1102" s="96"/>
    </row>
    <row r="1103" spans="1:6" ht="15.75">
      <c r="A1103" s="89"/>
      <c r="B1103" s="91"/>
      <c r="C1103" s="63"/>
      <c r="D1103" s="357"/>
      <c r="E1103" s="357"/>
      <c r="F1103" s="96"/>
    </row>
    <row r="1104" spans="1:6" ht="15.75">
      <c r="A1104" s="89"/>
      <c r="B1104" s="91"/>
      <c r="C1104" s="63"/>
      <c r="D1104" s="357"/>
      <c r="E1104" s="357"/>
      <c r="F1104" s="96"/>
    </row>
    <row r="1105" spans="1:6" ht="15.75">
      <c r="A1105" s="89"/>
      <c r="B1105" s="91"/>
      <c r="C1105" s="63"/>
      <c r="D1105" s="357"/>
      <c r="E1105" s="357"/>
      <c r="F1105" s="96"/>
    </row>
    <row r="1106" spans="1:6" ht="15.75">
      <c r="A1106" s="89"/>
      <c r="B1106" s="91"/>
      <c r="C1106" s="63"/>
      <c r="D1106" s="357"/>
      <c r="E1106" s="357"/>
      <c r="F1106" s="96"/>
    </row>
    <row r="1107" spans="1:6" ht="15.75">
      <c r="A1107" s="89"/>
      <c r="B1107" s="91"/>
      <c r="C1107" s="63"/>
      <c r="D1107" s="357"/>
      <c r="E1107" s="357"/>
      <c r="F1107" s="96"/>
    </row>
    <row r="1108" spans="1:6" ht="15.75">
      <c r="A1108" s="89"/>
      <c r="B1108" s="91"/>
      <c r="C1108" s="63"/>
      <c r="D1108" s="357"/>
      <c r="E1108" s="357"/>
      <c r="F1108" s="96"/>
    </row>
    <row r="1109" spans="1:6" ht="15.75">
      <c r="A1109" s="89"/>
      <c r="B1109" s="91"/>
      <c r="C1109" s="63"/>
      <c r="D1109" s="357"/>
      <c r="E1109" s="357"/>
      <c r="F1109" s="96"/>
    </row>
    <row r="1110" spans="1:6" ht="15.75">
      <c r="A1110" s="89"/>
      <c r="B1110" s="91"/>
      <c r="C1110" s="63"/>
      <c r="D1110" s="357"/>
      <c r="E1110" s="357"/>
      <c r="F1110" s="96"/>
    </row>
    <row r="1111" spans="1:6" ht="15.75">
      <c r="A1111" s="89"/>
      <c r="B1111" s="91"/>
      <c r="C1111" s="63"/>
      <c r="D1111" s="357"/>
      <c r="E1111" s="357"/>
      <c r="F1111" s="96"/>
    </row>
    <row r="1112" spans="1:6" ht="15.75">
      <c r="A1112" s="89"/>
      <c r="B1112" s="91"/>
      <c r="C1112" s="63"/>
      <c r="D1112" s="357"/>
      <c r="E1112" s="357"/>
      <c r="F1112" s="96"/>
    </row>
    <row r="1113" spans="1:6" ht="15.75">
      <c r="A1113" s="89"/>
      <c r="B1113" s="91"/>
      <c r="C1113" s="63"/>
      <c r="D1113" s="357"/>
      <c r="E1113" s="357"/>
      <c r="F1113" s="96"/>
    </row>
    <row r="1114" spans="1:6" ht="15.75">
      <c r="A1114" s="89"/>
      <c r="B1114" s="91"/>
      <c r="C1114" s="63"/>
      <c r="D1114" s="357"/>
      <c r="E1114" s="357"/>
      <c r="F1114" s="96"/>
    </row>
    <row r="1115" spans="1:6" ht="15.75">
      <c r="A1115" s="89"/>
      <c r="B1115" s="91"/>
      <c r="C1115" s="63"/>
      <c r="D1115" s="357"/>
      <c r="E1115" s="357"/>
      <c r="F1115" s="96"/>
    </row>
    <row r="1116" spans="1:6" ht="15.75">
      <c r="A1116" s="89"/>
      <c r="B1116" s="91"/>
      <c r="C1116" s="63"/>
      <c r="D1116" s="357"/>
      <c r="E1116" s="357"/>
      <c r="F1116" s="96"/>
    </row>
    <row r="1117" spans="1:6" ht="15.75">
      <c r="A1117" s="89"/>
      <c r="B1117" s="91"/>
      <c r="C1117" s="63"/>
      <c r="D1117" s="357"/>
      <c r="E1117" s="357"/>
      <c r="F1117" s="96"/>
    </row>
    <row r="1118" spans="1:6" ht="15.75">
      <c r="A1118" s="89"/>
      <c r="B1118" s="91"/>
      <c r="C1118" s="63"/>
      <c r="D1118" s="357"/>
      <c r="E1118" s="357"/>
      <c r="F1118" s="96"/>
    </row>
    <row r="1119" spans="1:6" ht="15.75">
      <c r="A1119" s="89"/>
      <c r="B1119" s="91"/>
      <c r="C1119" s="63"/>
      <c r="D1119" s="357"/>
      <c r="E1119" s="357"/>
      <c r="F1119" s="96"/>
    </row>
    <row r="1120" spans="1:6" ht="15.75">
      <c r="A1120" s="89"/>
      <c r="B1120" s="91"/>
      <c r="C1120" s="63"/>
      <c r="D1120" s="357"/>
      <c r="E1120" s="357"/>
      <c r="F1120" s="96"/>
    </row>
    <row r="1121" spans="1:6" ht="15.75">
      <c r="A1121" s="89"/>
      <c r="B1121" s="91"/>
      <c r="C1121" s="63"/>
      <c r="D1121" s="357"/>
      <c r="E1121" s="357"/>
      <c r="F1121" s="96"/>
    </row>
    <row r="1122" spans="1:6" ht="15.75">
      <c r="A1122" s="89"/>
      <c r="B1122" s="91"/>
      <c r="C1122" s="63"/>
      <c r="D1122" s="357"/>
      <c r="E1122" s="357"/>
      <c r="F1122" s="96"/>
    </row>
    <row r="1123" spans="1:6" ht="15.75">
      <c r="A1123" s="89"/>
      <c r="B1123" s="91"/>
      <c r="C1123" s="63"/>
      <c r="D1123" s="357"/>
      <c r="E1123" s="357"/>
      <c r="F1123" s="96"/>
    </row>
    <row r="1124" spans="1:6" ht="15.75">
      <c r="A1124" s="89"/>
      <c r="B1124" s="91"/>
      <c r="C1124" s="63"/>
      <c r="D1124" s="357"/>
      <c r="E1124" s="357"/>
      <c r="F1124" s="96"/>
    </row>
    <row r="1125" spans="1:6" ht="15.75">
      <c r="A1125" s="89"/>
      <c r="B1125" s="91"/>
      <c r="C1125" s="63"/>
      <c r="D1125" s="357"/>
      <c r="E1125" s="357"/>
      <c r="F1125" s="96"/>
    </row>
    <row r="1126" spans="1:6" ht="15.75">
      <c r="A1126" s="89"/>
      <c r="B1126" s="91"/>
      <c r="C1126" s="63"/>
      <c r="D1126" s="357"/>
      <c r="E1126" s="357"/>
      <c r="F1126" s="96"/>
    </row>
    <row r="1127" spans="1:6" ht="15.75">
      <c r="A1127" s="89"/>
      <c r="B1127" s="91"/>
      <c r="C1127" s="63"/>
      <c r="D1127" s="357"/>
      <c r="E1127" s="357"/>
      <c r="F1127" s="96"/>
    </row>
    <row r="1128" spans="1:6" ht="15.75">
      <c r="A1128" s="89"/>
      <c r="B1128" s="91"/>
      <c r="C1128" s="63"/>
      <c r="D1128" s="357"/>
      <c r="E1128" s="357"/>
      <c r="F1128" s="96"/>
    </row>
    <row r="1129" spans="1:6" ht="15.75">
      <c r="A1129" s="89"/>
      <c r="B1129" s="91"/>
      <c r="C1129" s="63"/>
      <c r="D1129" s="357"/>
      <c r="E1129" s="357"/>
      <c r="F1129" s="96"/>
    </row>
    <row r="1130" spans="1:6" ht="15.75">
      <c r="A1130" s="89"/>
      <c r="B1130" s="91"/>
      <c r="C1130" s="63"/>
      <c r="D1130" s="357"/>
      <c r="E1130" s="357"/>
      <c r="F1130" s="96"/>
    </row>
  </sheetData>
  <sheetProtection/>
  <autoFilter ref="A4:F781"/>
  <mergeCells count="2">
    <mergeCell ref="B1:F1"/>
    <mergeCell ref="A2:F2"/>
  </mergeCells>
  <printOptions/>
  <pageMargins left="0.7086614173228347" right="0.7086614173228347" top="0.7480314960629921" bottom="0.7480314960629921" header="0.31496062992125984" footer="0.31496062992125984"/>
  <pageSetup fitToHeight="26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KazakovaEV</cp:lastModifiedBy>
  <cp:lastPrinted>2022-11-23T13:20:44Z</cp:lastPrinted>
  <dcterms:created xsi:type="dcterms:W3CDTF">2007-08-13T07:10:11Z</dcterms:created>
  <dcterms:modified xsi:type="dcterms:W3CDTF">2022-11-23T13:20:47Z</dcterms:modified>
  <cp:category/>
  <cp:version/>
  <cp:contentType/>
  <cp:contentStatus/>
</cp:coreProperties>
</file>